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880" windowHeight="6330"/>
  </bookViews>
  <sheets>
    <sheet name="1E JAARS VERSCHENEN" sheetId="1" r:id="rId1"/>
    <sheet name="1E JAARS NIET VERSCHENEN" sheetId="7" r:id="rId2"/>
    <sheet name="DRAAITABEL 1" sheetId="4" r:id="rId3"/>
    <sheet name="DRAAITABEL 2" sheetId="6" r:id="rId4"/>
    <sheet name="HBO2013" sheetId="5" r:id="rId5"/>
  </sheets>
  <definedNames>
    <definedName name="_xlnm._FilterDatabase" localSheetId="1" hidden="1">'1E JAARS NIET VERSCHENEN'!$A$1:$S$1</definedName>
    <definedName name="_xlnm._FilterDatabase" localSheetId="0" hidden="1">'1E JAARS VERSCHENEN'!$A$1:$T$957</definedName>
    <definedName name="_xlnm._FilterDatabase" localSheetId="4" hidden="1">'HBO2013'!$A$1:$M$58</definedName>
    <definedName name="_xlnm.Print_Titles" localSheetId="0">'1E JAARS VERSCHENEN'!$1:$1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Q459" i="1" l="1"/>
  <c r="D30" i="6" l="1"/>
  <c r="D13" i="6"/>
  <c r="G20" i="4" l="1"/>
  <c r="G3" i="4"/>
  <c r="Q472" i="1" l="1"/>
  <c r="P216" i="7" l="1"/>
  <c r="P214" i="7"/>
  <c r="P213" i="7"/>
  <c r="P212" i="7"/>
  <c r="P211" i="7"/>
  <c r="P210" i="7"/>
  <c r="P209" i="7"/>
  <c r="P208" i="7"/>
  <c r="P207" i="7"/>
  <c r="P205" i="7"/>
  <c r="P204" i="7"/>
  <c r="P202" i="7"/>
  <c r="P200" i="7"/>
  <c r="P199" i="7"/>
  <c r="P198" i="7"/>
  <c r="P196" i="7"/>
  <c r="P195" i="7"/>
  <c r="P194" i="7"/>
  <c r="P193" i="7"/>
  <c r="P192" i="7"/>
  <c r="P191" i="7"/>
  <c r="P190" i="7"/>
  <c r="P188" i="7"/>
  <c r="P187" i="7"/>
  <c r="P186" i="7"/>
  <c r="P185" i="7"/>
  <c r="P184" i="7"/>
  <c r="P183" i="7"/>
  <c r="P181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7" i="7"/>
  <c r="P156" i="7"/>
  <c r="P155" i="7"/>
  <c r="P153" i="7"/>
  <c r="P151" i="7"/>
  <c r="P150" i="7"/>
  <c r="P149" i="7"/>
  <c r="P148" i="7"/>
  <c r="P147" i="7"/>
  <c r="P146" i="7"/>
  <c r="P145" i="7"/>
  <c r="P144" i="7"/>
  <c r="P143" i="7"/>
  <c r="P142" i="7"/>
  <c r="P139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2" i="7"/>
  <c r="P121" i="7"/>
  <c r="P120" i="7"/>
  <c r="P118" i="7"/>
  <c r="P117" i="7"/>
  <c r="P116" i="7"/>
  <c r="P115" i="7"/>
  <c r="P114" i="7"/>
  <c r="P113" i="7"/>
  <c r="P112" i="7"/>
  <c r="P109" i="7"/>
  <c r="P108" i="7"/>
  <c r="P107" i="7"/>
  <c r="P106" i="7"/>
  <c r="P105" i="7"/>
  <c r="P103" i="7"/>
  <c r="P102" i="7"/>
  <c r="P101" i="7"/>
  <c r="P100" i="7"/>
  <c r="P99" i="7"/>
  <c r="P98" i="7"/>
  <c r="P97" i="7"/>
  <c r="P93" i="7"/>
  <c r="P92" i="7"/>
  <c r="P91" i="7"/>
  <c r="P90" i="7"/>
  <c r="P88" i="7"/>
  <c r="P87" i="7"/>
  <c r="P86" i="7"/>
  <c r="P84" i="7"/>
  <c r="P83" i="7"/>
  <c r="P80" i="7"/>
  <c r="P79" i="7"/>
  <c r="P78" i="7"/>
  <c r="P75" i="7"/>
  <c r="P74" i="7"/>
  <c r="P72" i="7"/>
  <c r="P71" i="7"/>
  <c r="P68" i="7"/>
  <c r="P67" i="7"/>
  <c r="P66" i="7"/>
  <c r="P65" i="7"/>
  <c r="P64" i="7"/>
  <c r="P63" i="7"/>
  <c r="P60" i="7"/>
  <c r="P59" i="7"/>
  <c r="P58" i="7"/>
  <c r="P57" i="7"/>
  <c r="P56" i="7"/>
  <c r="P54" i="7"/>
  <c r="P53" i="7"/>
  <c r="P52" i="7"/>
  <c r="P51" i="7"/>
  <c r="P50" i="7"/>
  <c r="P48" i="7"/>
  <c r="P47" i="7"/>
  <c r="P45" i="7"/>
  <c r="P44" i="7"/>
  <c r="P43" i="7"/>
  <c r="P42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5" i="7"/>
  <c r="P24" i="7"/>
  <c r="P22" i="7"/>
  <c r="P21" i="7"/>
  <c r="P20" i="7"/>
  <c r="P19" i="7"/>
  <c r="P18" i="7"/>
  <c r="P16" i="7"/>
  <c r="P15" i="7"/>
  <c r="P13" i="7"/>
  <c r="P12" i="7"/>
  <c r="P11" i="7"/>
  <c r="P9" i="7"/>
  <c r="P8" i="7"/>
  <c r="P7" i="7"/>
  <c r="P6" i="7"/>
  <c r="P5" i="7"/>
  <c r="P4" i="7"/>
  <c r="P3" i="7"/>
  <c r="P206" i="7"/>
  <c r="P203" i="7"/>
  <c r="P197" i="7"/>
  <c r="P182" i="7"/>
  <c r="P180" i="7"/>
  <c r="P154" i="7"/>
  <c r="P152" i="7"/>
  <c r="P141" i="7"/>
  <c r="P123" i="7"/>
  <c r="P119" i="7"/>
  <c r="P110" i="7"/>
  <c r="P104" i="7"/>
  <c r="P96" i="7"/>
  <c r="P94" i="7"/>
  <c r="P89" i="7"/>
  <c r="P82" i="7"/>
  <c r="P81" i="7"/>
  <c r="P77" i="7"/>
  <c r="P76" i="7"/>
  <c r="P73" i="7"/>
  <c r="P70" i="7"/>
  <c r="P69" i="7"/>
  <c r="P62" i="7"/>
  <c r="P61" i="7"/>
  <c r="P49" i="7"/>
  <c r="P46" i="7"/>
  <c r="P40" i="7"/>
  <c r="P10" i="7"/>
  <c r="P2" i="7"/>
  <c r="Q135" i="1" l="1"/>
  <c r="Q136" i="1"/>
  <c r="Q137" i="1"/>
  <c r="Q10" i="1"/>
  <c r="Q138" i="1"/>
  <c r="Q11" i="1"/>
  <c r="Q140" i="1"/>
  <c r="Q141" i="1"/>
  <c r="Q13" i="1"/>
  <c r="Q14" i="1"/>
  <c r="Q15" i="1"/>
  <c r="Q17" i="1"/>
  <c r="Q12" i="1"/>
  <c r="Q142" i="1"/>
  <c r="Q19" i="1"/>
  <c r="Q144" i="1"/>
  <c r="Q20" i="1"/>
  <c r="Q21" i="1"/>
  <c r="Q22" i="1"/>
  <c r="Q145" i="1"/>
  <c r="Q25" i="1"/>
  <c r="Q147" i="1"/>
  <c r="Q148" i="1"/>
  <c r="Q149" i="1"/>
  <c r="Q151" i="1"/>
  <c r="Q26" i="1"/>
  <c r="Q27" i="1"/>
  <c r="Q28" i="1"/>
  <c r="Q29" i="1"/>
  <c r="Q152" i="1"/>
  <c r="Q153" i="1"/>
  <c r="Q154" i="1"/>
  <c r="Q30" i="1"/>
  <c r="Q31" i="1"/>
  <c r="Q32" i="1"/>
  <c r="Q155" i="1"/>
  <c r="Q33" i="1"/>
  <c r="Q156" i="1"/>
  <c r="Q157" i="1"/>
  <c r="Q158" i="1"/>
  <c r="Q34" i="1"/>
  <c r="Q35" i="1"/>
  <c r="Q159" i="1"/>
  <c r="Q160" i="1"/>
  <c r="Q36" i="1"/>
  <c r="Q161" i="1"/>
  <c r="Q37" i="1"/>
  <c r="Q38" i="1"/>
  <c r="Q39" i="1"/>
  <c r="Q163" i="1"/>
  <c r="Q40" i="1"/>
  <c r="Q164" i="1"/>
  <c r="Q41" i="1"/>
  <c r="Q165" i="1"/>
  <c r="Q42" i="1"/>
  <c r="Q167" i="1"/>
  <c r="Q168" i="1"/>
  <c r="Q43" i="1"/>
  <c r="Q169" i="1"/>
  <c r="Q45" i="1"/>
  <c r="Q170" i="1"/>
  <c r="Q46" i="1"/>
  <c r="Q47" i="1"/>
  <c r="Q171" i="1"/>
  <c r="Q172" i="1"/>
  <c r="Q48" i="1"/>
  <c r="Q49" i="1"/>
  <c r="Q173" i="1"/>
  <c r="Q44" i="1"/>
  <c r="Q51" i="1"/>
  <c r="Q174" i="1"/>
  <c r="Q175" i="1"/>
  <c r="Q176" i="1"/>
  <c r="Q54" i="1"/>
  <c r="Q55" i="1"/>
  <c r="Q177" i="1"/>
  <c r="Q130" i="1"/>
  <c r="Q179" i="1"/>
  <c r="Q57" i="1"/>
  <c r="Q180" i="1"/>
  <c r="Q50" i="1"/>
  <c r="Q181" i="1"/>
  <c r="Q183" i="1"/>
  <c r="Q58" i="1"/>
  <c r="Q184" i="1"/>
  <c r="Q185" i="1"/>
  <c r="Q60" i="1"/>
  <c r="Q186" i="1"/>
  <c r="Q61" i="1"/>
  <c r="Q187" i="1"/>
  <c r="Q188" i="1"/>
  <c r="Q189" i="1"/>
  <c r="Q63" i="1"/>
  <c r="Q65" i="1"/>
  <c r="Q62" i="1"/>
  <c r="Q64" i="1"/>
  <c r="Q190" i="1"/>
  <c r="Q191" i="1"/>
  <c r="Q66" i="1"/>
  <c r="Q193" i="1"/>
  <c r="Q67" i="1"/>
  <c r="Q194" i="1"/>
  <c r="Q69" i="1"/>
  <c r="Q195" i="1"/>
  <c r="Q70" i="1"/>
  <c r="Q196" i="1"/>
  <c r="Q197" i="1"/>
  <c r="Q5" i="1"/>
  <c r="Q192" i="1"/>
  <c r="Q68" i="1"/>
  <c r="Q71" i="1"/>
  <c r="Q198" i="1"/>
  <c r="Q206" i="1"/>
  <c r="Q200" i="1"/>
  <c r="Q73" i="1"/>
  <c r="Q74" i="1"/>
  <c r="Q4" i="1"/>
  <c r="Q76" i="1"/>
  <c r="Q203" i="1"/>
  <c r="Q77" i="1"/>
  <c r="Q204" i="1"/>
  <c r="Q79" i="1"/>
  <c r="Q205" i="1"/>
  <c r="Q80" i="1"/>
  <c r="Q81" i="1"/>
  <c r="Q82" i="1"/>
  <c r="Q84" i="1"/>
  <c r="Q210" i="1"/>
  <c r="Q85" i="1"/>
  <c r="Q211" i="1"/>
  <c r="Q86" i="1"/>
  <c r="Q213" i="1"/>
  <c r="Q214" i="1"/>
  <c r="Q207" i="1"/>
  <c r="Q87" i="1"/>
  <c r="Q88" i="1"/>
  <c r="Q216" i="1"/>
  <c r="Q90" i="1"/>
  <c r="Q217" i="1"/>
  <c r="Q226" i="1"/>
  <c r="Q91" i="1"/>
  <c r="Q6" i="1"/>
  <c r="Q219" i="1"/>
  <c r="Q7" i="1"/>
  <c r="Q93" i="1"/>
  <c r="Q220" i="1"/>
  <c r="Q221" i="1"/>
  <c r="Q222" i="1"/>
  <c r="Q224" i="1"/>
  <c r="Q225" i="1"/>
  <c r="Q227" i="1"/>
  <c r="Q228" i="1"/>
  <c r="Q229" i="1"/>
  <c r="Q95" i="1"/>
  <c r="Q96" i="1"/>
  <c r="Q97" i="1"/>
  <c r="Q98" i="1"/>
  <c r="Q231" i="1"/>
  <c r="Q99" i="1"/>
  <c r="Q100" i="1"/>
  <c r="Q230" i="1"/>
  <c r="Q234" i="1"/>
  <c r="Q102" i="1"/>
  <c r="Q103" i="1"/>
  <c r="Q3" i="1"/>
  <c r="Q235" i="1"/>
  <c r="Q104" i="1"/>
  <c r="Q105" i="1"/>
  <c r="Q106" i="1"/>
  <c r="Q237" i="1"/>
  <c r="Q236" i="1"/>
  <c r="Q239" i="1"/>
  <c r="Q107" i="1"/>
  <c r="Q241" i="1"/>
  <c r="Q108" i="1"/>
  <c r="Q242" i="1"/>
  <c r="Q243" i="1"/>
  <c r="Q109" i="1"/>
  <c r="Q8" i="1"/>
  <c r="Q245" i="1"/>
  <c r="Q246" i="1"/>
  <c r="Q111" i="1"/>
  <c r="Q9" i="1"/>
  <c r="Q247" i="1"/>
  <c r="Q240" i="1"/>
  <c r="Q110" i="1"/>
  <c r="Q248" i="1"/>
  <c r="Q251" i="1"/>
  <c r="Q113" i="1"/>
  <c r="Q114" i="1"/>
  <c r="Q253" i="1"/>
  <c r="Q116" i="1"/>
  <c r="Q117" i="1"/>
  <c r="Q118" i="1"/>
  <c r="Q254" i="1"/>
  <c r="Q255" i="1"/>
  <c r="Q249" i="1"/>
  <c r="Q112" i="1"/>
  <c r="Q257" i="1"/>
  <c r="Q259" i="1"/>
  <c r="Q260" i="1"/>
  <c r="Q261" i="1"/>
  <c r="Q262" i="1"/>
  <c r="Q263" i="1"/>
  <c r="Q256" i="1"/>
  <c r="Q264" i="1"/>
  <c r="Q265" i="1"/>
  <c r="Q266" i="1"/>
  <c r="Q267" i="1"/>
  <c r="Q268" i="1"/>
  <c r="Q270" i="1"/>
  <c r="Q271" i="1"/>
  <c r="Q272" i="1"/>
  <c r="Q274" i="1"/>
  <c r="Q275" i="1"/>
  <c r="Q276" i="1"/>
  <c r="Q277" i="1"/>
  <c r="Q278" i="1"/>
  <c r="Q281" i="1"/>
  <c r="Q282" i="1"/>
  <c r="Q283" i="1"/>
  <c r="Q284" i="1"/>
  <c r="Q286" i="1"/>
  <c r="Q75" i="1"/>
  <c r="Q287" i="1"/>
  <c r="Q288" i="1"/>
  <c r="Q289" i="1"/>
  <c r="Q290" i="1"/>
  <c r="Q292" i="1"/>
  <c r="Q294" i="1"/>
  <c r="Q295" i="1"/>
  <c r="Q291" i="1"/>
  <c r="Q296" i="1"/>
  <c r="Q298" i="1"/>
  <c r="Q299" i="1"/>
  <c r="Q300" i="1"/>
  <c r="Q301" i="1"/>
  <c r="Q303" i="1"/>
  <c r="Q304" i="1"/>
  <c r="Q306" i="1"/>
  <c r="Q307" i="1"/>
  <c r="Q308" i="1"/>
  <c r="Q309" i="1"/>
  <c r="Q310" i="1"/>
  <c r="Q311" i="1"/>
  <c r="Q305" i="1"/>
  <c r="Q313" i="1"/>
  <c r="Q314" i="1"/>
  <c r="Q315" i="1"/>
  <c r="Q318" i="1"/>
  <c r="Q319" i="1"/>
  <c r="Q320" i="1"/>
  <c r="Q321" i="1"/>
  <c r="Q323" i="1"/>
  <c r="Q326" i="1"/>
  <c r="Q327" i="1"/>
  <c r="Q328" i="1"/>
  <c r="Q330" i="1"/>
  <c r="Q332" i="1"/>
  <c r="Q333" i="1"/>
  <c r="Q334" i="1"/>
  <c r="Q336" i="1"/>
  <c r="Q337" i="1"/>
  <c r="Q338" i="1"/>
  <c r="Q340" i="1"/>
  <c r="Q341" i="1"/>
  <c r="Q342" i="1"/>
  <c r="Q343" i="1"/>
  <c r="Q344" i="1"/>
  <c r="Q339" i="1"/>
  <c r="Q345" i="1"/>
  <c r="Q348" i="1"/>
  <c r="Q349" i="1"/>
  <c r="Q351" i="1"/>
  <c r="Q352" i="1"/>
  <c r="Q347" i="1"/>
  <c r="Q354" i="1"/>
  <c r="Q355" i="1"/>
  <c r="Q357" i="1"/>
  <c r="Q358" i="1"/>
  <c r="Q359" i="1"/>
  <c r="Q360" i="1"/>
  <c r="Q361" i="1"/>
  <c r="Q356" i="1"/>
  <c r="Q362" i="1"/>
  <c r="Q363" i="1"/>
  <c r="Q364" i="1"/>
  <c r="Q365" i="1"/>
  <c r="Q367" i="1"/>
  <c r="Q368" i="1"/>
  <c r="Q369" i="1"/>
  <c r="Q370" i="1"/>
  <c r="Q371" i="1"/>
  <c r="Q372" i="1"/>
  <c r="Q373" i="1"/>
  <c r="Q374" i="1"/>
  <c r="Q376" i="1"/>
  <c r="Q377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2" i="1"/>
  <c r="Q393" i="1"/>
  <c r="Q394" i="1"/>
  <c r="Q395" i="1"/>
  <c r="Q396" i="1"/>
  <c r="Q397" i="1"/>
  <c r="Q398" i="1"/>
  <c r="Q399" i="1"/>
  <c r="Q401" i="1"/>
  <c r="Q400" i="1"/>
  <c r="Q402" i="1"/>
  <c r="Q403" i="1"/>
  <c r="Q404" i="1"/>
  <c r="Q405" i="1"/>
  <c r="Q406" i="1"/>
  <c r="Q407" i="1"/>
  <c r="Q408" i="1"/>
  <c r="Q409" i="1"/>
  <c r="Q411" i="1"/>
  <c r="Q412" i="1"/>
  <c r="Q414" i="1"/>
  <c r="Q415" i="1"/>
  <c r="Q417" i="1"/>
  <c r="Q419" i="1"/>
  <c r="Q420" i="1"/>
  <c r="Q421" i="1"/>
  <c r="Q422" i="1"/>
  <c r="Q423" i="1"/>
  <c r="Q425" i="1"/>
  <c r="Q418" i="1"/>
  <c r="Q426" i="1"/>
  <c r="Q427" i="1"/>
  <c r="Q428" i="1"/>
  <c r="Q429" i="1"/>
  <c r="Q430" i="1"/>
  <c r="Q431" i="1"/>
  <c r="Q433" i="1"/>
  <c r="Q434" i="1"/>
  <c r="Q435" i="1"/>
  <c r="Q437" i="1"/>
  <c r="Q438" i="1"/>
  <c r="Q439" i="1"/>
  <c r="Q441" i="1"/>
  <c r="Q443" i="1"/>
  <c r="Q444" i="1"/>
  <c r="Q445" i="1"/>
  <c r="Q446" i="1"/>
  <c r="Q448" i="1"/>
  <c r="Q449" i="1"/>
  <c r="Q450" i="1"/>
  <c r="Q451" i="1"/>
  <c r="Q452" i="1"/>
  <c r="Q453" i="1"/>
  <c r="Q454" i="1"/>
  <c r="Q455" i="1"/>
  <c r="Q456" i="1"/>
  <c r="Q457" i="1"/>
  <c r="Q458" i="1"/>
  <c r="Q460" i="1"/>
  <c r="Q461" i="1"/>
  <c r="Q462" i="1"/>
  <c r="Q463" i="1"/>
  <c r="Q126" i="1"/>
  <c r="Q465" i="1"/>
  <c r="Q468" i="1"/>
  <c r="Q469" i="1"/>
  <c r="Q470" i="1"/>
  <c r="Q473" i="1"/>
  <c r="Q474" i="1"/>
  <c r="Q491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10" i="1"/>
  <c r="Q512" i="1"/>
  <c r="Q513" i="1"/>
  <c r="Q514" i="1"/>
  <c r="Q509" i="1"/>
  <c r="Q515" i="1"/>
  <c r="Q517" i="1"/>
  <c r="Q518" i="1"/>
  <c r="Q519" i="1"/>
  <c r="Q520" i="1"/>
  <c r="Q521" i="1"/>
  <c r="Q522" i="1"/>
  <c r="Q516" i="1"/>
  <c r="Q523" i="1"/>
  <c r="Q524" i="1"/>
  <c r="Q525" i="1"/>
  <c r="Q526" i="1"/>
  <c r="Q527" i="1"/>
  <c r="Q528" i="1"/>
  <c r="Q529" i="1"/>
  <c r="Q133" i="1"/>
  <c r="Q530" i="1"/>
  <c r="Q533" i="1"/>
  <c r="Q534" i="1"/>
  <c r="Q535" i="1"/>
  <c r="Q536" i="1"/>
  <c r="Q537" i="1"/>
  <c r="Q539" i="1"/>
  <c r="Q540" i="1"/>
  <c r="Q541" i="1"/>
  <c r="Q542" i="1"/>
  <c r="Q543" i="1"/>
  <c r="Q545" i="1"/>
  <c r="Q538" i="1"/>
  <c r="Q546" i="1"/>
  <c r="Q549" i="1"/>
  <c r="Q550" i="1"/>
  <c r="Q551" i="1"/>
  <c r="Q131" i="1"/>
  <c r="Q553" i="1"/>
  <c r="Q554" i="1"/>
  <c r="Q555" i="1"/>
  <c r="Q556" i="1"/>
  <c r="Q557" i="1"/>
  <c r="Q558" i="1"/>
  <c r="Q559" i="1"/>
  <c r="Q561" i="1"/>
  <c r="Q563" i="1"/>
  <c r="Q564" i="1"/>
  <c r="Q565" i="1"/>
  <c r="Q566" i="1"/>
  <c r="Q567" i="1"/>
  <c r="Q568" i="1"/>
  <c r="Q562" i="1"/>
  <c r="Q569" i="1"/>
  <c r="Q570" i="1"/>
  <c r="Q574" i="1"/>
  <c r="Q575" i="1"/>
  <c r="Q572" i="1"/>
  <c r="Q573" i="1"/>
  <c r="Q577" i="1"/>
  <c r="Q578" i="1"/>
  <c r="Q580" i="1"/>
  <c r="Q581" i="1"/>
  <c r="Q582" i="1"/>
  <c r="Q584" i="1"/>
  <c r="Q583" i="1"/>
  <c r="Q579" i="1"/>
  <c r="Q585" i="1"/>
  <c r="Q587" i="1"/>
  <c r="Q588" i="1"/>
  <c r="Q589" i="1"/>
  <c r="Q591" i="1"/>
  <c r="Q592" i="1"/>
  <c r="Q586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8" i="1"/>
  <c r="Q609" i="1"/>
  <c r="Q612" i="1"/>
  <c r="Q613" i="1"/>
  <c r="Q614" i="1"/>
  <c r="Q616" i="1"/>
  <c r="Q615" i="1"/>
  <c r="Q610" i="1"/>
  <c r="Q611" i="1"/>
  <c r="Q618" i="1"/>
  <c r="Q621" i="1"/>
  <c r="Q623" i="1"/>
  <c r="Q624" i="1"/>
  <c r="Q619" i="1"/>
  <c r="Q622" i="1"/>
  <c r="Q620" i="1"/>
  <c r="Q627" i="1"/>
  <c r="Q628" i="1"/>
  <c r="Q129" i="1"/>
  <c r="Q629" i="1"/>
  <c r="Q630" i="1"/>
  <c r="Q626" i="1"/>
  <c r="Q132" i="1"/>
  <c r="Q631" i="1"/>
  <c r="Q632" i="1"/>
  <c r="Q633" i="1"/>
  <c r="Q634" i="1"/>
  <c r="Q635" i="1"/>
  <c r="Q636" i="1"/>
  <c r="Q639" i="1"/>
  <c r="Q637" i="1"/>
  <c r="Q640" i="1"/>
  <c r="Q641" i="1"/>
  <c r="Q642" i="1"/>
  <c r="Q643" i="1"/>
  <c r="Q645" i="1"/>
  <c r="Q647" i="1"/>
  <c r="Q648" i="1"/>
  <c r="Q651" i="1"/>
  <c r="Q652" i="1"/>
  <c r="Q653" i="1"/>
  <c r="Q654" i="1"/>
  <c r="Q656" i="1"/>
  <c r="Q657" i="1"/>
  <c r="Q659" i="1"/>
  <c r="Q661" i="1"/>
  <c r="Q662" i="1"/>
  <c r="Q663" i="1"/>
  <c r="Q664" i="1"/>
  <c r="Q660" i="1"/>
  <c r="Q666" i="1"/>
  <c r="Q667" i="1"/>
  <c r="Q669" i="1"/>
  <c r="Q670" i="1"/>
  <c r="Q671" i="1"/>
  <c r="Q665" i="1"/>
  <c r="Q673" i="1"/>
  <c r="Q674" i="1"/>
  <c r="Q675" i="1"/>
  <c r="Q676" i="1"/>
  <c r="Q677" i="1"/>
  <c r="Q682" i="1"/>
  <c r="Q683" i="1"/>
  <c r="Q684" i="1"/>
  <c r="Q685" i="1"/>
  <c r="Q687" i="1"/>
  <c r="Q688" i="1"/>
  <c r="Q681" i="1"/>
  <c r="Q700" i="1"/>
  <c r="Q701" i="1"/>
  <c r="Q703" i="1"/>
  <c r="Q704" i="1"/>
  <c r="Q698" i="1"/>
  <c r="Q699" i="1"/>
  <c r="Q706" i="1"/>
  <c r="Q707" i="1"/>
  <c r="Q709" i="1"/>
  <c r="Q710" i="1"/>
  <c r="Q712" i="1"/>
  <c r="Q708" i="1"/>
  <c r="Q713" i="1"/>
  <c r="Q717" i="1"/>
  <c r="Q718" i="1"/>
  <c r="Q720" i="1"/>
  <c r="Q715" i="1"/>
  <c r="Q719" i="1"/>
  <c r="Q722" i="1"/>
  <c r="Q724" i="1"/>
  <c r="Q725" i="1"/>
  <c r="Q726" i="1"/>
  <c r="Q727" i="1"/>
  <c r="Q723" i="1"/>
  <c r="Q467" i="1"/>
  <c r="Q730" i="1"/>
  <c r="Q128" i="1"/>
  <c r="Q731" i="1"/>
  <c r="Q732" i="1"/>
  <c r="Q733" i="1"/>
  <c r="Q734" i="1"/>
  <c r="Q735" i="1"/>
  <c r="Q736" i="1"/>
  <c r="Q738" i="1"/>
  <c r="Q739" i="1"/>
  <c r="Q740" i="1"/>
  <c r="Q742" i="1"/>
  <c r="Q743" i="1"/>
  <c r="Q744" i="1"/>
  <c r="Q745" i="1"/>
  <c r="Q748" i="1"/>
  <c r="Q749" i="1"/>
  <c r="Q750" i="1"/>
  <c r="Q746" i="1"/>
  <c r="Q747" i="1"/>
  <c r="Q752" i="1"/>
  <c r="Q258" i="1"/>
  <c r="Q754" i="1"/>
  <c r="Q692" i="1"/>
  <c r="Q756" i="1"/>
  <c r="Q757" i="1"/>
  <c r="Q758" i="1"/>
  <c r="Q759" i="1"/>
  <c r="Q760" i="1"/>
  <c r="Q761" i="1"/>
  <c r="Q765" i="1"/>
  <c r="Q767" i="1"/>
  <c r="Q768" i="1"/>
  <c r="Q769" i="1"/>
  <c r="Q770" i="1"/>
  <c r="Q762" i="1"/>
  <c r="Q771" i="1"/>
  <c r="Q772" i="1"/>
  <c r="Q773" i="1"/>
  <c r="Q764" i="1"/>
  <c r="Q250" i="1"/>
  <c r="Q252" i="1"/>
  <c r="Q218" i="1"/>
  <c r="Q705" i="1"/>
  <c r="Q475" i="1"/>
  <c r="Q728" i="1"/>
  <c r="Q199" i="1"/>
  <c r="Q119" i="1"/>
  <c r="Q120" i="1"/>
  <c r="Q83" i="1"/>
  <c r="Q346" i="1"/>
  <c r="Q483" i="1"/>
  <c r="Q166" i="1"/>
  <c r="Q273" i="1"/>
  <c r="Q121" i="1"/>
  <c r="Q201" i="1"/>
  <c r="Q484" i="1"/>
  <c r="Q485" i="1"/>
  <c r="Q476" i="1"/>
  <c r="Q477" i="1"/>
  <c r="Q658" i="1"/>
  <c r="Q508" i="1"/>
  <c r="Q202" i="1"/>
  <c r="Q492" i="1"/>
  <c r="Q2" i="1"/>
  <c r="Q59" i="1"/>
  <c r="Q122" i="1"/>
  <c r="Q209" i="1"/>
  <c r="Q322" i="1"/>
  <c r="Q123" i="1"/>
  <c r="Q391" i="1"/>
  <c r="Q478" i="1"/>
  <c r="Q690" i="1"/>
  <c r="Q488" i="1"/>
  <c r="Q124" i="1"/>
  <c r="Q691" i="1"/>
  <c r="Q763" i="1"/>
  <c r="Q146" i="1"/>
  <c r="Q489" i="1"/>
  <c r="Q638" i="1"/>
  <c r="Q693" i="1"/>
  <c r="Q479" i="1"/>
  <c r="Q480" i="1"/>
  <c r="Q695" i="1"/>
  <c r="Q416" i="1"/>
  <c r="Q696" i="1"/>
  <c r="Q741" i="1"/>
  <c r="Q576" i="1"/>
  <c r="Q766" i="1"/>
  <c r="Q482" i="1"/>
  <c r="Q751" i="1"/>
  <c r="Q689" i="1"/>
  <c r="Q486" i="1"/>
  <c r="Q753" i="1"/>
  <c r="Q481" i="1"/>
  <c r="Q223" i="1"/>
</calcChain>
</file>

<file path=xl/sharedStrings.xml><?xml version="1.0" encoding="utf-8"?>
<sst xmlns="http://schemas.openxmlformats.org/spreadsheetml/2006/main" count="13682" uniqueCount="6548">
  <si>
    <t>OPL</t>
  </si>
  <si>
    <t>STNR</t>
  </si>
  <si>
    <t>NAAM</t>
  </si>
  <si>
    <t>VOLLEDIGE NAAM</t>
  </si>
  <si>
    <t>ROEPNAAM</t>
  </si>
  <si>
    <t>GROEP</t>
  </si>
  <si>
    <t>GEB.DATUM</t>
  </si>
  <si>
    <t>M/V</t>
  </si>
  <si>
    <t>ADRES</t>
  </si>
  <si>
    <t>PC PLAATS</t>
  </si>
  <si>
    <t>LAND</t>
  </si>
  <si>
    <t>E-MAIL</t>
  </si>
  <si>
    <t>MOBIEL</t>
  </si>
  <si>
    <t>START TUD</t>
  </si>
  <si>
    <t>OPMERKINGEN</t>
  </si>
  <si>
    <t>B-WB</t>
  </si>
  <si>
    <t>Baud</t>
  </si>
  <si>
    <t>S.B. Baud</t>
  </si>
  <si>
    <t>Sam</t>
  </si>
  <si>
    <t>Nederlandse</t>
  </si>
  <si>
    <t>M</t>
  </si>
  <si>
    <t>Emmalaan 19</t>
  </si>
  <si>
    <t>3581 HM UTRECHT</t>
  </si>
  <si>
    <t>Nederland</t>
  </si>
  <si>
    <t>sam1220@mail.com</t>
  </si>
  <si>
    <t>06-39196042</t>
  </si>
  <si>
    <t>Berg</t>
  </si>
  <si>
    <t>M.R. van den Berg</t>
  </si>
  <si>
    <t>Michiel</t>
  </si>
  <si>
    <t>Plantageweg 32 a</t>
  </si>
  <si>
    <t>3061 PK ROTTERDAM</t>
  </si>
  <si>
    <t>michielvandenberg2@hotmail.com</t>
  </si>
  <si>
    <t>Bussemakers</t>
  </si>
  <si>
    <t>P.J.M. Bussemakers</t>
  </si>
  <si>
    <t>Matthijs</t>
  </si>
  <si>
    <t>de Wandelingen 19</t>
  </si>
  <si>
    <t>8131 WD WIJHE</t>
  </si>
  <si>
    <t>hpmatthijs@hotmail.com</t>
  </si>
  <si>
    <t>Cheng</t>
  </si>
  <si>
    <t>S.Y.N. Cheng</t>
  </si>
  <si>
    <t>Stanley</t>
  </si>
  <si>
    <t>Surinaamse</t>
  </si>
  <si>
    <t>Hooikade 9 C</t>
  </si>
  <si>
    <t>2627 AB DELFT</t>
  </si>
  <si>
    <t>styn1992@gmail.com</t>
  </si>
  <si>
    <t>B-MT</t>
  </si>
  <si>
    <t>Dekker</t>
  </si>
  <si>
    <t>Q. Dekker</t>
  </si>
  <si>
    <t>Quinten</t>
  </si>
  <si>
    <t>Verspronckweg 197</t>
  </si>
  <si>
    <t>2023 BG HAARLEM</t>
  </si>
  <si>
    <t>quinten.dekker@gmail.com</t>
  </si>
  <si>
    <t>Drubers</t>
  </si>
  <si>
    <t>D.W. Drubers</t>
  </si>
  <si>
    <t>Dennis</t>
  </si>
  <si>
    <t>Dukasstraat 2</t>
  </si>
  <si>
    <t>1962 AH HEEMSKERK</t>
  </si>
  <si>
    <t>dennisdrubers@gmail.com</t>
  </si>
  <si>
    <t>I. Gundogan</t>
  </si>
  <si>
    <t>Ibrahim</t>
  </si>
  <si>
    <t>Güzel</t>
  </si>
  <si>
    <t>K. Güzel</t>
  </si>
  <si>
    <t>Kenan</t>
  </si>
  <si>
    <t>Jacoba van Beierenlaan 49</t>
  </si>
  <si>
    <t>2613 HZ DELFT</t>
  </si>
  <si>
    <t>kenan.guzel.88@gmail.com</t>
  </si>
  <si>
    <t>Jeschke</t>
  </si>
  <si>
    <t>J.M. Jeschke</t>
  </si>
  <si>
    <t>Joost</t>
  </si>
  <si>
    <t>Fluitekruid 9</t>
  </si>
  <si>
    <t>3984 BA ODIJK</t>
  </si>
  <si>
    <t>joostjeschke@gmail.com</t>
  </si>
  <si>
    <t>Koker</t>
  </si>
  <si>
    <t>M.P.C. Koker</t>
  </si>
  <si>
    <t>Prinses Mariannelaan 164</t>
  </si>
  <si>
    <t>2275 BL VOORBURG</t>
  </si>
  <si>
    <t>matthijs.koker@hotmail.com</t>
  </si>
  <si>
    <t>Nelissen</t>
  </si>
  <si>
    <t>M.M. Nelissen</t>
  </si>
  <si>
    <t>Andrej Sacharovstraat 28</t>
  </si>
  <si>
    <t>3065 EC ROTTERDAM</t>
  </si>
  <si>
    <t>michiel_m_nelissen@hotmail.com</t>
  </si>
  <si>
    <t>Seegers</t>
  </si>
  <si>
    <t>J.P. Seegers</t>
  </si>
  <si>
    <t>Jeroen</t>
  </si>
  <si>
    <t>Lorentzweg 96</t>
  </si>
  <si>
    <t>1223 HS HILVERSUM</t>
  </si>
  <si>
    <t>wseegers@kpnmail.nl</t>
  </si>
  <si>
    <t>OMZW LR</t>
  </si>
  <si>
    <t>Terun</t>
  </si>
  <si>
    <t>K. Terun</t>
  </si>
  <si>
    <t>Kaan Terun</t>
  </si>
  <si>
    <t>Italiaanse</t>
  </si>
  <si>
    <t>Herman Gorterhof 163</t>
  </si>
  <si>
    <t>2624 XL DELFT</t>
  </si>
  <si>
    <t>kaanterun@hotmail.com</t>
  </si>
  <si>
    <t>Verbruggen</t>
  </si>
  <si>
    <t>J.J. Verbruggen</t>
  </si>
  <si>
    <t>Johan</t>
  </si>
  <si>
    <t>Burg van Trichtlaan 112</t>
  </si>
  <si>
    <t>3648 VK WILNIS</t>
  </si>
  <si>
    <t>jverbruggen8@gmail.com</t>
  </si>
  <si>
    <t>Vettorato</t>
  </si>
  <si>
    <t>B.P.J. Vettorato</t>
  </si>
  <si>
    <t>Boris</t>
  </si>
  <si>
    <t>Hoefslag 17</t>
  </si>
  <si>
    <t>5109 TS 'S GRAVENMOER</t>
  </si>
  <si>
    <t>boris_vettorato@hotmail.com</t>
  </si>
  <si>
    <t>Broekhuis</t>
  </si>
  <si>
    <t>G.H.A. Broekhuis</t>
  </si>
  <si>
    <t>Hilde</t>
  </si>
  <si>
    <t>V</t>
  </si>
  <si>
    <t>Coenderstraat 1</t>
  </si>
  <si>
    <t>2613 SM Delft</t>
  </si>
  <si>
    <t>hilde_broekhuis@hotmail.com</t>
  </si>
  <si>
    <t>OMZW MT</t>
  </si>
  <si>
    <t>Hendriks</t>
  </si>
  <si>
    <t>L.R.M. Hendriks</t>
  </si>
  <si>
    <t>Lisanne</t>
  </si>
  <si>
    <t>Pergolesistraat 1</t>
  </si>
  <si>
    <t>2901 PA CAPELLE AAN DEN IJSSEL</t>
  </si>
  <si>
    <t>pandalisanne@hotmail.com</t>
  </si>
  <si>
    <t>Amnad</t>
  </si>
  <si>
    <t>I. Amnad</t>
  </si>
  <si>
    <t>Ilias</t>
  </si>
  <si>
    <t>Ottho Heldringstraat 19 F</t>
  </si>
  <si>
    <t>1066 XT AMSTERDAM</t>
  </si>
  <si>
    <t>ilias_1509@hotmail.com</t>
  </si>
  <si>
    <t>Berk</t>
  </si>
  <si>
    <t>T. van den Berk</t>
  </si>
  <si>
    <t>Tim</t>
  </si>
  <si>
    <t>Riethil 9</t>
  </si>
  <si>
    <t>3261 EM OUD-BEIJERLAND</t>
  </si>
  <si>
    <t>appeltjesvoordedorst@hotmail.com</t>
  </si>
  <si>
    <t>Feys</t>
  </si>
  <si>
    <t>A.B.Z. Feys</t>
  </si>
  <si>
    <t>Andreas</t>
  </si>
  <si>
    <t>Belgische</t>
  </si>
  <si>
    <t>Kerkhofblommenstraat 38</t>
  </si>
  <si>
    <t>8310 Assbroek</t>
  </si>
  <si>
    <t>België</t>
  </si>
  <si>
    <t>andreas.feys@hotmail.com</t>
  </si>
  <si>
    <t>Hille Ris Lambers</t>
  </si>
  <si>
    <t>L.A. Hille Ris Lambers</t>
  </si>
  <si>
    <t>Ludo</t>
  </si>
  <si>
    <t>Heuvelweg 2</t>
  </si>
  <si>
    <t>2061 BP BLOEMENDAAL</t>
  </si>
  <si>
    <t>ludovic1993@hotmail.com</t>
  </si>
  <si>
    <t>Hofman</t>
  </si>
  <si>
    <t>J. Hofman</t>
  </si>
  <si>
    <t>Burg van den Boschlaan 46</t>
  </si>
  <si>
    <t>3956 DC LEERSUM</t>
  </si>
  <si>
    <t>joost_hofman@hotmail.com</t>
  </si>
  <si>
    <t>OMZW TA</t>
  </si>
  <si>
    <t>Koning</t>
  </si>
  <si>
    <t>J.J. Koning</t>
  </si>
  <si>
    <t>Jasper</t>
  </si>
  <si>
    <t>Johannes Geradtsweg 146</t>
  </si>
  <si>
    <t>1222 RA HILVERSUM</t>
  </si>
  <si>
    <t>jasperkoning@gmail.com</t>
  </si>
  <si>
    <t>Kort</t>
  </si>
  <si>
    <t>J.F. de Kort</t>
  </si>
  <si>
    <t>Huijgenslaan 21</t>
  </si>
  <si>
    <t>3818 WB AMERSFOORT</t>
  </si>
  <si>
    <t>jasperdkort@gmail.com</t>
  </si>
  <si>
    <t>Laan</t>
  </si>
  <si>
    <t>J. van der Laan</t>
  </si>
  <si>
    <t>Jorik</t>
  </si>
  <si>
    <t>Damsterweg 41</t>
  </si>
  <si>
    <t>9629 PB STEENDAM</t>
  </si>
  <si>
    <t>jorikvanderlaan@hotmail.nl</t>
  </si>
  <si>
    <t>Venema</t>
  </si>
  <si>
    <t>M.E. Venema</t>
  </si>
  <si>
    <t>Menno</t>
  </si>
  <si>
    <t>Gerberasingel 86</t>
  </si>
  <si>
    <t>2651 XZ BERKEL EN RODENRIJS</t>
  </si>
  <si>
    <t>menno3052al@hotmail.com</t>
  </si>
  <si>
    <t>Verbeeten</t>
  </si>
  <si>
    <t>G.T.J. Verbeeten</t>
  </si>
  <si>
    <t>Gijs</t>
  </si>
  <si>
    <t>Prof. Evertslaan 132</t>
  </si>
  <si>
    <t>2628 XZ DELFT</t>
  </si>
  <si>
    <t>gijsverbeeten@gmail.com</t>
  </si>
  <si>
    <t>Visscher</t>
  </si>
  <si>
    <t>J.R. Visscher</t>
  </si>
  <si>
    <t>Just</t>
  </si>
  <si>
    <t>Lekkerbeetjenlaan 156</t>
  </si>
  <si>
    <t>5263 LB VUGHT</t>
  </si>
  <si>
    <t>just.visscher@hotmail.com</t>
  </si>
  <si>
    <t>Wildt</t>
  </si>
  <si>
    <t>M.J. de Wildt</t>
  </si>
  <si>
    <t>Midas</t>
  </si>
  <si>
    <t>Burgemeesterpark 22</t>
  </si>
  <si>
    <t>3971 CV DRIEBERGEN-RIJSENBURG</t>
  </si>
  <si>
    <t>midas-dewildt@hotmail.com</t>
  </si>
  <si>
    <t>Reddingius</t>
  </si>
  <si>
    <t>A.F. Reddingius</t>
  </si>
  <si>
    <t>Antine</t>
  </si>
  <si>
    <t>Zwolseweg 123</t>
  </si>
  <si>
    <t>7412 AD DEVENTER</t>
  </si>
  <si>
    <t>antine_reddingius@hotmail.com</t>
  </si>
  <si>
    <t>Staalduinen</t>
  </si>
  <si>
    <t>I. van Staalduinen</t>
  </si>
  <si>
    <t>Inge</t>
  </si>
  <si>
    <t>Regulierenstraat 25</t>
  </si>
  <si>
    <t>2694 BA 'S-GRAVENZANDE</t>
  </si>
  <si>
    <t>ingevanstaalduinen@hotmail.com</t>
  </si>
  <si>
    <t>Blom</t>
  </si>
  <si>
    <t>P.H. Blom</t>
  </si>
  <si>
    <t>Peter</t>
  </si>
  <si>
    <t>Boukema</t>
  </si>
  <si>
    <t>J.M. Boukema</t>
  </si>
  <si>
    <t>Jos</t>
  </si>
  <si>
    <t>Prins Mauritssingel 16</t>
  </si>
  <si>
    <t>2912 BG NIEUWERKERK AD IJSSEL</t>
  </si>
  <si>
    <t>josboukema@live.nl</t>
  </si>
  <si>
    <t>Goudberg</t>
  </si>
  <si>
    <t>N.D.R. Goudberg</t>
  </si>
  <si>
    <t>Niels</t>
  </si>
  <si>
    <t>Oranje Nassaulaan 2</t>
  </si>
  <si>
    <t>3722 JM BILTHOVEN</t>
  </si>
  <si>
    <t>niels_goudberg@live.nl</t>
  </si>
  <si>
    <t>Haakmat</t>
  </si>
  <si>
    <t>C.C.E. Haakmat</t>
  </si>
  <si>
    <t>Cyrus</t>
  </si>
  <si>
    <t>J A Alberdingk Thijmstr 79</t>
  </si>
  <si>
    <t>3117 RE SCHIEDAM</t>
  </si>
  <si>
    <t>cyrushaakmat@hotmail.com</t>
  </si>
  <si>
    <t>Haas</t>
  </si>
  <si>
    <t>K. de Haas</t>
  </si>
  <si>
    <t>Kevin</t>
  </si>
  <si>
    <t>Balthasar van der Polweg 618</t>
  </si>
  <si>
    <t>2628 ZH DELFT</t>
  </si>
  <si>
    <t>kevindehaas1@hotmail.com</t>
  </si>
  <si>
    <t>Hagen</t>
  </si>
  <si>
    <t>G.R.C. Hagen</t>
  </si>
  <si>
    <t>Gilles</t>
  </si>
  <si>
    <t>Julianalaan 121</t>
  </si>
  <si>
    <t>3722 GH BILTHOVEN</t>
  </si>
  <si>
    <t>gilleshagen@gmail.com</t>
  </si>
  <si>
    <t>Hoeven</t>
  </si>
  <si>
    <t>T.E.J. van der Hoeven</t>
  </si>
  <si>
    <t>Thomas</t>
  </si>
  <si>
    <t>BELLEFLEUR 29</t>
  </si>
  <si>
    <t>6662 HP ELST GLD</t>
  </si>
  <si>
    <t>thomas.vdhoeven@hotmail.com</t>
  </si>
  <si>
    <t>Koster</t>
  </si>
  <si>
    <t>M.A. Koster</t>
  </si>
  <si>
    <t>Lanckhorstlaan 22</t>
  </si>
  <si>
    <t>2101 BE HEEMSTEDE</t>
  </si>
  <si>
    <t>michiel@kfive.demon.nl</t>
  </si>
  <si>
    <t>Kulve</t>
  </si>
  <si>
    <t>D.W. ter Kulve</t>
  </si>
  <si>
    <t>Diederick</t>
  </si>
  <si>
    <t>Oude Delft 35</t>
  </si>
  <si>
    <t>2611 BB DELFT</t>
  </si>
  <si>
    <t>diederick.terkulve@gmail.com</t>
  </si>
  <si>
    <t>Lambregts</t>
  </si>
  <si>
    <t>T.R. Lambregts</t>
  </si>
  <si>
    <t>Taco</t>
  </si>
  <si>
    <t>Middelweg 22</t>
  </si>
  <si>
    <t>6584 AH MOLENHOEK LB</t>
  </si>
  <si>
    <t>tacolambregts@live.nl</t>
  </si>
  <si>
    <t>Noorloos</t>
  </si>
  <si>
    <t>M.J. van Noorloos</t>
  </si>
  <si>
    <t>Maarten</t>
  </si>
  <si>
    <t>Merelstraat 26</t>
  </si>
  <si>
    <t>3362 RK SLIEDRECHT</t>
  </si>
  <si>
    <t>maartenvn@live.nl</t>
  </si>
  <si>
    <t>Reutlinger</t>
  </si>
  <si>
    <t>D.C.J. Reutlinger</t>
  </si>
  <si>
    <t>David</t>
  </si>
  <si>
    <t>Frans van Mierisstraat 26 hs</t>
  </si>
  <si>
    <t>1071 RT AMSTERDAM</t>
  </si>
  <si>
    <t>dcjreutlinger@gmail.com</t>
  </si>
  <si>
    <t>Trentelman</t>
  </si>
  <si>
    <t>T.R. Trentelman</t>
  </si>
  <si>
    <t>Thom</t>
  </si>
  <si>
    <t>Gentsestraat 86</t>
  </si>
  <si>
    <t>2587 HX 'S-GRAVENHAGE</t>
  </si>
  <si>
    <t>thomtrentelman@kpnmail.nl</t>
  </si>
  <si>
    <t>Veldhuizen</t>
  </si>
  <si>
    <t>B.N. van Veldhuizen</t>
  </si>
  <si>
    <t>Berend</t>
  </si>
  <si>
    <t>Albertine Agneslaan 47</t>
  </si>
  <si>
    <t>6713 MP EDE GLD</t>
  </si>
  <si>
    <t>beertjuh@upcmail.nl</t>
  </si>
  <si>
    <t>Weijerman</t>
  </si>
  <si>
    <t>M.P.P. Weijerman</t>
  </si>
  <si>
    <t>Mark</t>
  </si>
  <si>
    <t>Poggenbeekstraat 31</t>
  </si>
  <si>
    <t>6813 KD ARNHEM</t>
  </si>
  <si>
    <t>mark_weijerman@hotmail.com</t>
  </si>
  <si>
    <t>Yilmaz</t>
  </si>
  <si>
    <t>Ö. Yilmaz</t>
  </si>
  <si>
    <t>Özal</t>
  </si>
  <si>
    <t>'t Hoge Sas 6</t>
  </si>
  <si>
    <t>4551 TS SAS VAN GENT</t>
  </si>
  <si>
    <t>yilmaz_ozal@hotmail.com</t>
  </si>
  <si>
    <t>Backx</t>
  </si>
  <si>
    <t>M.H.R. Backx</t>
  </si>
  <si>
    <t>Martijn</t>
  </si>
  <si>
    <t>Weth van Klinkenstraat 10</t>
  </si>
  <si>
    <t>4306 CT NIEUWERKERK</t>
  </si>
  <si>
    <t>martijn_backx@hotmail.com</t>
  </si>
  <si>
    <t>Beek</t>
  </si>
  <si>
    <t>G.G. van Beek</t>
  </si>
  <si>
    <t>Buitenkamp 8</t>
  </si>
  <si>
    <t>7214 BJ EPSE</t>
  </si>
  <si>
    <t>gijsgilles@gmail.com</t>
  </si>
  <si>
    <t>Duijn</t>
  </si>
  <si>
    <t>J.S. van Duijn</t>
  </si>
  <si>
    <t>Joël</t>
  </si>
  <si>
    <t>Louis Bouwmeesterstraat 18</t>
  </si>
  <si>
    <t>1065 KW AMSTERDAM</t>
  </si>
  <si>
    <t>joelvanduijn@hotmail.com</t>
  </si>
  <si>
    <t>R.C. Hofman</t>
  </si>
  <si>
    <t>Dick</t>
  </si>
  <si>
    <t>Nassaulaan 23</t>
  </si>
  <si>
    <t>3743 CA BAARN</t>
  </si>
  <si>
    <t>dick_hof@hotmail.com</t>
  </si>
  <si>
    <t>Jong</t>
  </si>
  <si>
    <t>R. de Jong</t>
  </si>
  <si>
    <t>Rémy</t>
  </si>
  <si>
    <t>Oude Loosdrechtseweg 40</t>
  </si>
  <si>
    <t>1215 HJ HILVERSUM</t>
  </si>
  <si>
    <t>remydejong5@gmail.com</t>
  </si>
  <si>
    <t>Klijn</t>
  </si>
  <si>
    <t>M. Klijn</t>
  </si>
  <si>
    <t>Mats</t>
  </si>
  <si>
    <t>Dominicanenlaan 3</t>
  </si>
  <si>
    <t>2408 KH ALPHEN AAN DEN RIJN</t>
  </si>
  <si>
    <t>mats.klijn@live.com</t>
  </si>
  <si>
    <t>Kouzelis</t>
  </si>
  <si>
    <t>K. Kouzelis</t>
  </si>
  <si>
    <t>Konstantinos</t>
  </si>
  <si>
    <t>Griekse</t>
  </si>
  <si>
    <t>Danckertsstraat 7</t>
  </si>
  <si>
    <t>2517 TE 'S-GRAVENHAGE</t>
  </si>
  <si>
    <t>kouzelisk@hotmail.com</t>
  </si>
  <si>
    <t>Mourik</t>
  </si>
  <si>
    <t>L. Mourik</t>
  </si>
  <si>
    <t>Laurens</t>
  </si>
  <si>
    <t>Boreelstraat 31 A</t>
  </si>
  <si>
    <t>3039 WH ROTTERDAM</t>
  </si>
  <si>
    <t>laurensmourik@hotmail.com</t>
  </si>
  <si>
    <t>Muller</t>
  </si>
  <si>
    <t>J.P. Muller</t>
  </si>
  <si>
    <t>Jelle</t>
  </si>
  <si>
    <t>Iepenlaan 5</t>
  </si>
  <si>
    <t>8603 CE SNEEK</t>
  </si>
  <si>
    <t>jelle.muller@live.nl</t>
  </si>
  <si>
    <t>Oostenbroek</t>
  </si>
  <si>
    <t>J. Oostenbroek</t>
  </si>
  <si>
    <t>Jochem</t>
  </si>
  <si>
    <t>'t Wijd 26</t>
  </si>
  <si>
    <t>8531 RB LEMMER</t>
  </si>
  <si>
    <t>jochem189@hotmail.com</t>
  </si>
  <si>
    <t>Ruiter</t>
  </si>
  <si>
    <t>H.N. de Ruiter</t>
  </si>
  <si>
    <t>Nick</t>
  </si>
  <si>
    <t>Hooge Erf 1</t>
  </si>
  <si>
    <t>1534 NZ OOSTKNOLLENDAM</t>
  </si>
  <si>
    <t>hnderuiter1994@gmail.com</t>
  </si>
  <si>
    <t>Verhelst</t>
  </si>
  <si>
    <t>H.M. Verhelst</t>
  </si>
  <si>
    <t>Hugo</t>
  </si>
  <si>
    <t>Grootvenseweg 13</t>
  </si>
  <si>
    <t>6603 AP WIJCHEN</t>
  </si>
  <si>
    <t>hugo.verhelst@inter.nl.net</t>
  </si>
  <si>
    <t>Versteeg</t>
  </si>
  <si>
    <t>H.S.E. Versteeg</t>
  </si>
  <si>
    <t>Huib</t>
  </si>
  <si>
    <t>Meloenstraat 37</t>
  </si>
  <si>
    <t>2564 TB 'S-GRAVENHAGE</t>
  </si>
  <si>
    <t>huib@cx4all.nl</t>
  </si>
  <si>
    <t>Voorst tot Voorst</t>
  </si>
  <si>
    <t>P.P.E.M. van Voorst tot Voorst</t>
  </si>
  <si>
    <t>Peter Paul</t>
  </si>
  <si>
    <t>Koekoekslaan 1</t>
  </si>
  <si>
    <t>5263 GJ VUGHT</t>
  </si>
  <si>
    <t>ppvanvoorst@hotmail.com</t>
  </si>
  <si>
    <t>Wal</t>
  </si>
  <si>
    <t>B.W. van der Wal</t>
  </si>
  <si>
    <t>Wouter</t>
  </si>
  <si>
    <t>Parksingel 3</t>
  </si>
  <si>
    <t>9503 ED STADSKANAAL</t>
  </si>
  <si>
    <t>wouter24-09@hotmail.com</t>
  </si>
  <si>
    <t>Robeerts</t>
  </si>
  <si>
    <t>T.R. Robeerts</t>
  </si>
  <si>
    <t>Tori</t>
  </si>
  <si>
    <t>Houtduif 8</t>
  </si>
  <si>
    <t>1695 AX BLOKKER</t>
  </si>
  <si>
    <t>barrel_love@hotmail.com</t>
  </si>
  <si>
    <t>Dieijen</t>
  </si>
  <si>
    <t>F.C. van Dieijen</t>
  </si>
  <si>
    <t>Felix</t>
  </si>
  <si>
    <t>Oudraadtweg 11</t>
  </si>
  <si>
    <t>2612 SL DELFT</t>
  </si>
  <si>
    <t>flix8@live.nl</t>
  </si>
  <si>
    <t>Fris</t>
  </si>
  <si>
    <t>R. Fris</t>
  </si>
  <si>
    <t>Rein</t>
  </si>
  <si>
    <t>Parkstraat 5</t>
  </si>
  <si>
    <t>1506 WB ZAANDAM</t>
  </si>
  <si>
    <t>rein_fris@stmichaelcollege.nl</t>
  </si>
  <si>
    <t>Heuvel</t>
  </si>
  <si>
    <t>O.D. van den Heuvel</t>
  </si>
  <si>
    <t>Oscar</t>
  </si>
  <si>
    <t>Gravin Sophialaan 5</t>
  </si>
  <si>
    <t>2114 DS VOGELENZANG</t>
  </si>
  <si>
    <t>oscar90@planet.nl</t>
  </si>
  <si>
    <t>Hoeksma</t>
  </si>
  <si>
    <t>M.M. Hoeksma</t>
  </si>
  <si>
    <t>Mees</t>
  </si>
  <si>
    <t>Bloemendalergouw 42</t>
  </si>
  <si>
    <t>1028 BJ AMSTERDAM</t>
  </si>
  <si>
    <t>meeshoeksma@hotmail.com</t>
  </si>
  <si>
    <t>Koot</t>
  </si>
  <si>
    <t>J.C.M. Koot</t>
  </si>
  <si>
    <t>Freesiastraat 2 b</t>
  </si>
  <si>
    <t>2651 XM BERKEL EN RODENRIJS</t>
  </si>
  <si>
    <t>jeroen.koot@hotmail.com</t>
  </si>
  <si>
    <t>Koten</t>
  </si>
  <si>
    <t>K.C. van Koten</t>
  </si>
  <si>
    <t>Koen</t>
  </si>
  <si>
    <t>Westerstraat 37 b/c</t>
  </si>
  <si>
    <t>2613 RE DELFT</t>
  </si>
  <si>
    <t>koenvankoten@hotmail.com</t>
  </si>
  <si>
    <t>Kranenburg</t>
  </si>
  <si>
    <t>C. Kranenburg</t>
  </si>
  <si>
    <t>Carlo</t>
  </si>
  <si>
    <t>Scheg 12</t>
  </si>
  <si>
    <t>3863 VD NIJKERK GLD</t>
  </si>
  <si>
    <t>carlokranenburg1994@gmail.com</t>
  </si>
  <si>
    <t>Lienke</t>
  </si>
  <si>
    <t>C.T. Lienke</t>
  </si>
  <si>
    <t>Burger Bondsrepubliek Duitsland</t>
  </si>
  <si>
    <t>Fjorddal 4</t>
  </si>
  <si>
    <t>3124 ND SCHIEDAM</t>
  </si>
  <si>
    <t>timlienke@gmail.com</t>
  </si>
  <si>
    <t>Martinus</t>
  </si>
  <si>
    <t>T.A. Martinus</t>
  </si>
  <si>
    <t>Tom</t>
  </si>
  <si>
    <t>Rietgans 4</t>
  </si>
  <si>
    <t>7827 SP EMMEN</t>
  </si>
  <si>
    <t>tom.martinus@hotmail.com</t>
  </si>
  <si>
    <t>Nederpel</t>
  </si>
  <si>
    <t>A.L.E. Nederpel</t>
  </si>
  <si>
    <t>Arnoud</t>
  </si>
  <si>
    <t>Turfmarkt 102</t>
  </si>
  <si>
    <t>2801 HC GOUDA</t>
  </si>
  <si>
    <t>arnoudned@hotmail.com</t>
  </si>
  <si>
    <t>Talsma</t>
  </si>
  <si>
    <t>T. Talsma</t>
  </si>
  <si>
    <t>Tjalling</t>
  </si>
  <si>
    <t>Leidijk 30</t>
  </si>
  <si>
    <t>9825 TA LUCASWOLDE</t>
  </si>
  <si>
    <t>tjallingtalsma@hotmail.com</t>
  </si>
  <si>
    <t>Vliet</t>
  </si>
  <si>
    <t>N.M. van der Vliet</t>
  </si>
  <si>
    <t>Noud</t>
  </si>
  <si>
    <t>Beukenlaan 34</t>
  </si>
  <si>
    <t>6584 CR MOLENHOEK LB</t>
  </si>
  <si>
    <t>noudvandervliet@gmail.com</t>
  </si>
  <si>
    <t>Vonk</t>
  </si>
  <si>
    <t>M.F.G. Vonk</t>
  </si>
  <si>
    <t>Past. van Haarenstraat 69</t>
  </si>
  <si>
    <t>5464 VE VEGHEL</t>
  </si>
  <si>
    <t>matthijs-vonk@hotmail.com</t>
  </si>
  <si>
    <t>K. van der Wal</t>
  </si>
  <si>
    <t>Karoen</t>
  </si>
  <si>
    <t>Millinghaweg 32</t>
  </si>
  <si>
    <t>9822 TE NIEKERK GROOTEGAST</t>
  </si>
  <si>
    <t>karoenvdwal1@hotmail.com</t>
  </si>
  <si>
    <t>Jonker</t>
  </si>
  <si>
    <t>M.J. Jonker</t>
  </si>
  <si>
    <t>Maxime</t>
  </si>
  <si>
    <t>Lindelaan 3</t>
  </si>
  <si>
    <t>4043 MA OPHEUSDEN</t>
  </si>
  <si>
    <t>maximejonker@live.nl</t>
  </si>
  <si>
    <t>Eden</t>
  </si>
  <si>
    <t>R. van Eden</t>
  </si>
  <si>
    <t>Robert</t>
  </si>
  <si>
    <t>Meerweg 20</t>
  </si>
  <si>
    <t>2103 VC HEEMSTEDE</t>
  </si>
  <si>
    <t>rveden@hotmail.com</t>
  </si>
  <si>
    <t>Gaaij</t>
  </si>
  <si>
    <t>A.E. de Gaaij</t>
  </si>
  <si>
    <t>Loskade 11</t>
  </si>
  <si>
    <t>4331 HV MIDDELBURG</t>
  </si>
  <si>
    <t>andreasnice@hotmail.com</t>
  </si>
  <si>
    <t>Hartog</t>
  </si>
  <si>
    <t>D.D.G. den Hartog</t>
  </si>
  <si>
    <t>Dylan</t>
  </si>
  <si>
    <t>Fie Carelsenlaan 33</t>
  </si>
  <si>
    <t>2548 ZP 'S-GRAVENHAGE</t>
  </si>
  <si>
    <t>jmsprockel@hotmail.com</t>
  </si>
  <si>
    <t>Hondema</t>
  </si>
  <si>
    <t>M. Hondema</t>
  </si>
  <si>
    <t>Padlaan 7</t>
  </si>
  <si>
    <t>1561 ZA KROMMENIE</t>
  </si>
  <si>
    <t>maartenhondema@hotmail.com</t>
  </si>
  <si>
    <t>Kemmere</t>
  </si>
  <si>
    <t>S. Kemmere</t>
  </si>
  <si>
    <t>Simon</t>
  </si>
  <si>
    <t>Poortweide 6</t>
  </si>
  <si>
    <t>2291 EH WATERINGEN</t>
  </si>
  <si>
    <t>simonkemmere@hotmail.com</t>
  </si>
  <si>
    <t>Lotz</t>
  </si>
  <si>
    <t>J.E. Lotz</t>
  </si>
  <si>
    <t>Jacob</t>
  </si>
  <si>
    <t>Havenstraat 21</t>
  </si>
  <si>
    <t>6701 CK WAGENINGEN</t>
  </si>
  <si>
    <t>jacob.lotz@planet.nl</t>
  </si>
  <si>
    <t>O'Reilly</t>
  </si>
  <si>
    <t>P.A.E. O'Reilly</t>
  </si>
  <si>
    <t>Brits Burger</t>
  </si>
  <si>
    <t>Broekweg 14</t>
  </si>
  <si>
    <t>1785 Brussegem</t>
  </si>
  <si>
    <t>paeoreilly@hotmail.com</t>
  </si>
  <si>
    <t>Os</t>
  </si>
  <si>
    <t>N. van Os</t>
  </si>
  <si>
    <t>Bron 24</t>
  </si>
  <si>
    <t>1511 JK OOSTZAAN</t>
  </si>
  <si>
    <t>sonavein@gmail.com</t>
  </si>
  <si>
    <t>Prins</t>
  </si>
  <si>
    <t>S.M. Prins</t>
  </si>
  <si>
    <t>Sander</t>
  </si>
  <si>
    <t>Marnixlaan 21</t>
  </si>
  <si>
    <t>1985 AN DRIEHUIS NH</t>
  </si>
  <si>
    <t>kip313@hotmail.com</t>
  </si>
  <si>
    <t>Swank</t>
  </si>
  <si>
    <t>T.R. Swank</t>
  </si>
  <si>
    <t>Etty Hillesumsingel 30</t>
  </si>
  <si>
    <t>2642 CP PIJNACKER</t>
  </si>
  <si>
    <t>tim.swank@planet.nl</t>
  </si>
  <si>
    <t>Tuinenburg</t>
  </si>
  <si>
    <t>A.J. Tuinenburg</t>
  </si>
  <si>
    <t>Bram</t>
  </si>
  <si>
    <t>Oost Voorgors 95</t>
  </si>
  <si>
    <t>3241 KD MIDDELHARNIS</t>
  </si>
  <si>
    <t>bram.bokkepoot@hotmail.com</t>
  </si>
  <si>
    <t>Verburgh</t>
  </si>
  <si>
    <t>T.M. Verburgh</t>
  </si>
  <si>
    <t>Tijmen</t>
  </si>
  <si>
    <t>Heemsteedse Dreef 46</t>
  </si>
  <si>
    <t>2102 KL HEEMSTEDE</t>
  </si>
  <si>
    <t>tijmen_cool@hotmail.com</t>
  </si>
  <si>
    <t>Waasdorp</t>
  </si>
  <si>
    <t>R. Waasdorp</t>
  </si>
  <si>
    <t>Rick</t>
  </si>
  <si>
    <t>Blekersvaartweg 31</t>
  </si>
  <si>
    <t>2101 CB HEEMSTEDE</t>
  </si>
  <si>
    <t>rickwaasdorp@hotmail.com</t>
  </si>
  <si>
    <t>Botman</t>
  </si>
  <si>
    <t>W.J. Botman</t>
  </si>
  <si>
    <t>Willemijn</t>
  </si>
  <si>
    <t>Emmastraat 77</t>
  </si>
  <si>
    <t>6828 HD ARNHEM</t>
  </si>
  <si>
    <t>willemijn_botman@hotmail.com</t>
  </si>
  <si>
    <t>Schmidt</t>
  </si>
  <si>
    <t>I.L.E. Schmidt</t>
  </si>
  <si>
    <t>Irene</t>
  </si>
  <si>
    <t>Wieger Bruinlaan 4</t>
  </si>
  <si>
    <t>2132 AW HOOFDDORP</t>
  </si>
  <si>
    <t>ileschmidt@live.nl</t>
  </si>
  <si>
    <t>Amierie</t>
  </si>
  <si>
    <t>A. Amierie</t>
  </si>
  <si>
    <t>Shahier</t>
  </si>
  <si>
    <t>Silene 10</t>
  </si>
  <si>
    <t>8265 GZ KAMPEN</t>
  </si>
  <si>
    <t>ahmadamierie@home.nl</t>
  </si>
  <si>
    <t>Faessen</t>
  </si>
  <si>
    <t>P.J.A. Faessen</t>
  </si>
  <si>
    <t>Pieke</t>
  </si>
  <si>
    <t>Gavran</t>
  </si>
  <si>
    <t>I. Gavran</t>
  </si>
  <si>
    <t>Ivan</t>
  </si>
  <si>
    <t>Burger Bosnie-Herzegovina</t>
  </si>
  <si>
    <t>Strandplevier 14</t>
  </si>
  <si>
    <t>4617 JN BERGEN OP ZOOM</t>
  </si>
  <si>
    <t>ivansafan@hotmail.com</t>
  </si>
  <si>
    <t>Geest</t>
  </si>
  <si>
    <t>R.B. van der Geest</t>
  </si>
  <si>
    <t>Rutger</t>
  </si>
  <si>
    <t>Leidseweg 391</t>
  </si>
  <si>
    <t>2253 JD VOORSCHOTEN</t>
  </si>
  <si>
    <t>rutgervdgeest@hotmail.com</t>
  </si>
  <si>
    <t>Geijtenbeek</t>
  </si>
  <si>
    <t>G. Geijtenbeek</t>
  </si>
  <si>
    <t>Bart</t>
  </si>
  <si>
    <t>Klaverpad 7</t>
  </si>
  <si>
    <t>4461 MD GOES</t>
  </si>
  <si>
    <t>bartgeijtenbeek@gmail.com</t>
  </si>
  <si>
    <t>Hagouchi</t>
  </si>
  <si>
    <t>H. Hagouchi</t>
  </si>
  <si>
    <t>Harvey</t>
  </si>
  <si>
    <t>Bijlmerdreef 360</t>
  </si>
  <si>
    <t>1102 AC AMSTERDAM ZUIDOOST</t>
  </si>
  <si>
    <t>harveytimon@hotmail.com</t>
  </si>
  <si>
    <t>Hoff</t>
  </si>
  <si>
    <t>Y. Hoff</t>
  </si>
  <si>
    <t>Yannick</t>
  </si>
  <si>
    <t>Selfhelpweg 10</t>
  </si>
  <si>
    <t>8607 AB SNEEK</t>
  </si>
  <si>
    <t>yannick_hoff_1@hotmail.com</t>
  </si>
  <si>
    <t>Kerkhof</t>
  </si>
  <si>
    <t>M.M.H.A. Kerkhof</t>
  </si>
  <si>
    <t>Maikel</t>
  </si>
  <si>
    <t>Oude Vlijmenseweg 74</t>
  </si>
  <si>
    <t>5223 GP 'S-HERTOGENBOSCH</t>
  </si>
  <si>
    <t>maikel_kerkhof@hotmail.com</t>
  </si>
  <si>
    <t>Kooij</t>
  </si>
  <si>
    <t>E.R. Kooij</t>
  </si>
  <si>
    <t>Egbert</t>
  </si>
  <si>
    <t>Bretagnesingel 11</t>
  </si>
  <si>
    <t>6666 XT HETEREN</t>
  </si>
  <si>
    <t>egbert.k@hotmail.com</t>
  </si>
  <si>
    <t>Peters</t>
  </si>
  <si>
    <t>M.L.J. Peters</t>
  </si>
  <si>
    <t>Busken Huetplein 1</t>
  </si>
  <si>
    <t>1215 AJ HILVERSUM</t>
  </si>
  <si>
    <t>marti_polo6@hotmail.com</t>
  </si>
  <si>
    <t>Schoonhoven</t>
  </si>
  <si>
    <t>M. Schoonhoven</t>
  </si>
  <si>
    <t>Falster 4</t>
  </si>
  <si>
    <t>1506 BN ZAANDAM</t>
  </si>
  <si>
    <t>matthijs.schoonhoven1@gmail.com</t>
  </si>
  <si>
    <t>Sharif</t>
  </si>
  <si>
    <t>A. Sharif</t>
  </si>
  <si>
    <t>Abubakar</t>
  </si>
  <si>
    <t>J.J.L. ten Katestraat 9 9</t>
  </si>
  <si>
    <t>3311 SN Dordrecht</t>
  </si>
  <si>
    <t>abubakar_4@msn.com</t>
  </si>
  <si>
    <t>Verton</t>
  </si>
  <si>
    <t>B. Verton</t>
  </si>
  <si>
    <t>Bas</t>
  </si>
  <si>
    <t>Primulatuin 2</t>
  </si>
  <si>
    <t>2662 DA BERGSCHENHOEK</t>
  </si>
  <si>
    <t>bver93@gmail.com</t>
  </si>
  <si>
    <t>Zwaginga</t>
  </si>
  <si>
    <t>J.J. Zwaginga</t>
  </si>
  <si>
    <t>Jesper</t>
  </si>
  <si>
    <t>Muntstraat 185</t>
  </si>
  <si>
    <t>2165 VZ LISSERBROEK</t>
  </si>
  <si>
    <t>j.j.zwaginga@quicknet.nl</t>
  </si>
  <si>
    <t>Reumer</t>
  </si>
  <si>
    <t>A. Reumer</t>
  </si>
  <si>
    <t>Anne</t>
  </si>
  <si>
    <t>Lisdoddelaan 37</t>
  </si>
  <si>
    <t>3451 PL VLEUTEN</t>
  </si>
  <si>
    <t>annereumer@gmail.com</t>
  </si>
  <si>
    <t>Zuijlen</t>
  </si>
  <si>
    <t>I.P.L. van Zuijlen</t>
  </si>
  <si>
    <t>Belle</t>
  </si>
  <si>
    <t>Prinses Marielaan 22 Bussum</t>
  </si>
  <si>
    <t>1405 EP BUSSUM</t>
  </si>
  <si>
    <t>belle95@live.nl</t>
  </si>
  <si>
    <t>Aouragh</t>
  </si>
  <si>
    <t>B. Aouragh</t>
  </si>
  <si>
    <t>Bilal</t>
  </si>
  <si>
    <t>Honthorststraat 34</t>
  </si>
  <si>
    <t>2525 GA 'S-GRAVENHAGE</t>
  </si>
  <si>
    <t>bilal.aouragh@gmail.com</t>
  </si>
  <si>
    <t>Bakhuis</t>
  </si>
  <si>
    <t>J.J. Bakhuis</t>
  </si>
  <si>
    <t>Jerico</t>
  </si>
  <si>
    <t>Elmesstraat 28</t>
  </si>
  <si>
    <t>Curaçao</t>
  </si>
  <si>
    <t>jerico-bakhuis@hotmail.com</t>
  </si>
  <si>
    <t>Beinema</t>
  </si>
  <si>
    <t>T.A. Beinema</t>
  </si>
  <si>
    <t>Eikendreef 83</t>
  </si>
  <si>
    <t>6581 PC MALDEN</t>
  </si>
  <si>
    <t>thomas.beinema@gmail.com</t>
  </si>
  <si>
    <t>Dijk</t>
  </si>
  <si>
    <t>B. van Dijk</t>
  </si>
  <si>
    <t>Bob</t>
  </si>
  <si>
    <t>Nieuwe Haven 57</t>
  </si>
  <si>
    <t>3291 GA STRIJEN</t>
  </si>
  <si>
    <t>bobvandijk3@hotmail.com</t>
  </si>
  <si>
    <t>Eerzamen</t>
  </si>
  <si>
    <t>F.P. den Eerzamen</t>
  </si>
  <si>
    <t>Philip</t>
  </si>
  <si>
    <t>Schoolstraat 23</t>
  </si>
  <si>
    <t>3251 AX STELLENDAM</t>
  </si>
  <si>
    <t>vlaflip_deneerzamen@hotmail.com</t>
  </si>
  <si>
    <t>Ekeren</t>
  </si>
  <si>
    <t>C.T. van Ekeren</t>
  </si>
  <si>
    <t>Kees</t>
  </si>
  <si>
    <t>Veenschoterweg 2 a</t>
  </si>
  <si>
    <t>3925 MN SCHERPENZEEL GLD</t>
  </si>
  <si>
    <t>keesvan_ekeren@live.nl</t>
  </si>
  <si>
    <t>Kessel</t>
  </si>
  <si>
    <t>D.H. van Kessel</t>
  </si>
  <si>
    <t>Daniël</t>
  </si>
  <si>
    <t>Houtwijkerveld 64</t>
  </si>
  <si>
    <t>2131 MJ HOOFDDORP</t>
  </si>
  <si>
    <t>danielvankessel@gmail.com</t>
  </si>
  <si>
    <t>Kingma</t>
  </si>
  <si>
    <t>J.M. Kingma</t>
  </si>
  <si>
    <t>Marga Klompelaan 20</t>
  </si>
  <si>
    <t>1187 PS AMSTELVEEN</t>
  </si>
  <si>
    <t>joost-kingma@hotmail.com</t>
  </si>
  <si>
    <t>Moens</t>
  </si>
  <si>
    <t>T. Moens</t>
  </si>
  <si>
    <t>Tieme</t>
  </si>
  <si>
    <t>Hoge Rijndijk 138</t>
  </si>
  <si>
    <t>2313 KN LEIDEN</t>
  </si>
  <si>
    <t>tieme@giesmo.demon.nl</t>
  </si>
  <si>
    <t>Wenink</t>
  </si>
  <si>
    <t>R.C.T. Wenink</t>
  </si>
  <si>
    <t>Ds J A Visserstraat 25</t>
  </si>
  <si>
    <t>6988 AJ LATHUM</t>
  </si>
  <si>
    <t>robertwenink@gmail.com</t>
  </si>
  <si>
    <t>Westhoek</t>
  </si>
  <si>
    <t>Y. Westhoek</t>
  </si>
  <si>
    <t>Youri</t>
  </si>
  <si>
    <t>Tedingeroord 18</t>
  </si>
  <si>
    <t>2493 ZD 'S-GRAVENHAGE</t>
  </si>
  <si>
    <t>youri.westhoek@gmail.com</t>
  </si>
  <si>
    <t>Witteveen</t>
  </si>
  <si>
    <t>B.W.T. Witteveen</t>
  </si>
  <si>
    <t>Beer</t>
  </si>
  <si>
    <t>Soestdijkseweg Zuid 223</t>
  </si>
  <si>
    <t>3721 AD BILTHOVEN</t>
  </si>
  <si>
    <t>beerwitteveen@hotmail.com</t>
  </si>
  <si>
    <t>Renardel de Lavalette</t>
  </si>
  <si>
    <t>D.H. Renardel de Lavalette</t>
  </si>
  <si>
    <t>Diederik</t>
  </si>
  <si>
    <t>Bergselaan 204 a</t>
  </si>
  <si>
    <t>3037 CL ROTTERDAM</t>
  </si>
  <si>
    <t>diederikrenardel@hotmail.com</t>
  </si>
  <si>
    <t>M.A. Dekker</t>
  </si>
  <si>
    <t>Melina</t>
  </si>
  <si>
    <t>Albert Verweylaan 111</t>
  </si>
  <si>
    <t>1422 TP UITHOORN</t>
  </si>
  <si>
    <t>me_lien@hotmail.com</t>
  </si>
  <si>
    <t>Karina Anggelia</t>
  </si>
  <si>
    <t>. Karina Anggelia</t>
  </si>
  <si>
    <t>Karina</t>
  </si>
  <si>
    <t>Indonesische</t>
  </si>
  <si>
    <t>Korvezeestraat 161</t>
  </si>
  <si>
    <t>2628 DH DELFT</t>
  </si>
  <si>
    <t>karidanayam@live.com</t>
  </si>
  <si>
    <t>Roos</t>
  </si>
  <si>
    <t>D.M.D. Roos</t>
  </si>
  <si>
    <t>Daniëlle</t>
  </si>
  <si>
    <t>Grotestraat 75</t>
  </si>
  <si>
    <t>5821 AC VIERLINGSBEEK</t>
  </si>
  <si>
    <t>danielle_roos898@hotmail.com</t>
  </si>
  <si>
    <t>Adams</t>
  </si>
  <si>
    <t>S.J.L. Adams</t>
  </si>
  <si>
    <t>Steven</t>
  </si>
  <si>
    <t>Diesterbaan 25</t>
  </si>
  <si>
    <t>6006 TB WEERT</t>
  </si>
  <si>
    <t>steven.adams.95@hotmail.com</t>
  </si>
  <si>
    <t>Boot</t>
  </si>
  <si>
    <t>T. Boot</t>
  </si>
  <si>
    <t>Keizersdijk 127</t>
  </si>
  <si>
    <t>3291 CD STRIJEN</t>
  </si>
  <si>
    <t>tim-boot@hotmail.com</t>
  </si>
  <si>
    <t>Braadbaart</t>
  </si>
  <si>
    <t>S. Braadbaart</t>
  </si>
  <si>
    <t>Sjoerd</t>
  </si>
  <si>
    <t>Bovenas 6</t>
  </si>
  <si>
    <t>4873 HT ETTEN-LEUR</t>
  </si>
  <si>
    <t>s.braadbaart@live.nl</t>
  </si>
  <si>
    <t>Doekes</t>
  </si>
  <si>
    <t>R.A.P. Doekes</t>
  </si>
  <si>
    <t>Roemer</t>
  </si>
  <si>
    <t>De Genestetweg 24</t>
  </si>
  <si>
    <t>2061 VC BLOEMENDAAL</t>
  </si>
  <si>
    <t>roemer.doekes@quicknet.nl</t>
  </si>
  <si>
    <t>Koesveld</t>
  </si>
  <si>
    <t>J.H.W. van Koesveld</t>
  </si>
  <si>
    <t>Lisztstraat 25</t>
  </si>
  <si>
    <t>2625 BJ DELFT</t>
  </si>
  <si>
    <t>jhwvankoesveld@gmail.com</t>
  </si>
  <si>
    <t>Lengyel</t>
  </si>
  <si>
    <t>A. Lengyel</t>
  </si>
  <si>
    <t>Attila</t>
  </si>
  <si>
    <t>Bostuin 11</t>
  </si>
  <si>
    <t>7813 BR EMMEN</t>
  </si>
  <si>
    <t>attilal94@gmail.com</t>
  </si>
  <si>
    <t>Overbeek</t>
  </si>
  <si>
    <t>M.C.J. Overbeek</t>
  </si>
  <si>
    <t>Mike</t>
  </si>
  <si>
    <t>Lopikerweg West 40</t>
  </si>
  <si>
    <t>3411 AN LOPIK</t>
  </si>
  <si>
    <t>mikeoverbeek@hotmail.com</t>
  </si>
  <si>
    <t>Pang</t>
  </si>
  <si>
    <t>N.Y. Pang</t>
  </si>
  <si>
    <t>Nahum</t>
  </si>
  <si>
    <t>Vista Royal G-31</t>
  </si>
  <si>
    <t>nahum-95@hotmail.com</t>
  </si>
  <si>
    <t>Poole</t>
  </si>
  <si>
    <t>J.J. le Poole</t>
  </si>
  <si>
    <t>Joan</t>
  </si>
  <si>
    <t>Parallelweg 47 b</t>
  </si>
  <si>
    <t>4043 KH OPHEUSDEN</t>
  </si>
  <si>
    <t>joanlepoole@hotmail.com</t>
  </si>
  <si>
    <t>Sogtoen</t>
  </si>
  <si>
    <t>A.P.M. Sogtoen</t>
  </si>
  <si>
    <t>Alexander</t>
  </si>
  <si>
    <t>Witte Singel 22</t>
  </si>
  <si>
    <t>2311 BG LEIDEN</t>
  </si>
  <si>
    <t>apmsogtoen@hotmail.com</t>
  </si>
  <si>
    <t>Wit</t>
  </si>
  <si>
    <t>A. de Wit</t>
  </si>
  <si>
    <t>André</t>
  </si>
  <si>
    <t>Generaal Snijdersstraat 6</t>
  </si>
  <si>
    <t>1171 HM BADHOEVEDORP</t>
  </si>
  <si>
    <t>dewitandre@hotmail.com</t>
  </si>
  <si>
    <t>Youssifou</t>
  </si>
  <si>
    <t>L. Youssifou</t>
  </si>
  <si>
    <t>Laila</t>
  </si>
  <si>
    <t>Deurnestraat 28</t>
  </si>
  <si>
    <t>1324 XA ALMERE</t>
  </si>
  <si>
    <t>laila_996@hotmail.com</t>
  </si>
  <si>
    <t>Bensdorp</t>
  </si>
  <si>
    <t>K.T.H. Bensdorp</t>
  </si>
  <si>
    <t>Kars</t>
  </si>
  <si>
    <t>H.W. Iordensweg 67</t>
  </si>
  <si>
    <t>7391 KD TWELLO</t>
  </si>
  <si>
    <t>karsbe@hotmail.com</t>
  </si>
  <si>
    <t>Boekhout</t>
  </si>
  <si>
    <t>M. Boekhout</t>
  </si>
  <si>
    <t>Amerbos 17</t>
  </si>
  <si>
    <t>1025 XX AMSTERDAM</t>
  </si>
  <si>
    <t>m.boekhout.wilde@gmail.com</t>
  </si>
  <si>
    <t>Boogaard</t>
  </si>
  <si>
    <t>M.W. van den Boogaard</t>
  </si>
  <si>
    <t>Maurits</t>
  </si>
  <si>
    <t>Vroenenbos 6</t>
  </si>
  <si>
    <t>1500 Halle</t>
  </si>
  <si>
    <t>maurits.vdboogaard@gmail.com</t>
  </si>
  <si>
    <t>Engel</t>
  </si>
  <si>
    <t>P.P. Engel</t>
  </si>
  <si>
    <t>Ringvaartpark 15</t>
  </si>
  <si>
    <t>2907 LH CAPELLE AAN DEN IJSSEL</t>
  </si>
  <si>
    <t>peterpaulengel@yahoo.com</t>
  </si>
  <si>
    <t>Jacobs</t>
  </si>
  <si>
    <t>O.C. Jacobs</t>
  </si>
  <si>
    <t>Olav</t>
  </si>
  <si>
    <t>Arie de Zeeuwstraat 24</t>
  </si>
  <si>
    <t>3065 PA ROTTERDAM</t>
  </si>
  <si>
    <t>olavcj@kpnplanet.nl</t>
  </si>
  <si>
    <t>Kamp</t>
  </si>
  <si>
    <t>P.A. Kamp</t>
  </si>
  <si>
    <t>Vijverlaan 9</t>
  </si>
  <si>
    <t>2411 AJ BODEGRAVEN</t>
  </si>
  <si>
    <t>info@aj-kamp.speedlinq.nl</t>
  </si>
  <si>
    <t>Meester</t>
  </si>
  <si>
    <t>P. Meester</t>
  </si>
  <si>
    <t>Pim</t>
  </si>
  <si>
    <t>St. Vitusstraat 62</t>
  </si>
  <si>
    <t>1211 PJ HILVERSUM</t>
  </si>
  <si>
    <t>pim_meester@hotmail.com</t>
  </si>
  <si>
    <t>R.A.R. Moens</t>
  </si>
  <si>
    <t>Roger</t>
  </si>
  <si>
    <t>Felix Poelsstraat 34</t>
  </si>
  <si>
    <t>1150 Brussel</t>
  </si>
  <si>
    <t>rogeramaurymoens@hotmail.com</t>
  </si>
  <si>
    <t>Sjouw</t>
  </si>
  <si>
    <t>F. Sjouw</t>
  </si>
  <si>
    <t>Freek</t>
  </si>
  <si>
    <t>Bachstraat 5</t>
  </si>
  <si>
    <t>3223 TA HELLEVOETSLUIS</t>
  </si>
  <si>
    <t>freeks@live.nl</t>
  </si>
  <si>
    <t>Strebus</t>
  </si>
  <si>
    <t>T.A. Strebus</t>
  </si>
  <si>
    <t>San Marco 49</t>
  </si>
  <si>
    <t>2134 AK HOOFDDORP</t>
  </si>
  <si>
    <t>tommiesan11@hotmail.com</t>
  </si>
  <si>
    <t>Vijlbrief</t>
  </si>
  <si>
    <t>M.F. Vijlbrief</t>
  </si>
  <si>
    <t>Brahmsstraat 18</t>
  </si>
  <si>
    <t>2992 ED BARENDRECHT</t>
  </si>
  <si>
    <t>mark_vijlbrief@live.nl</t>
  </si>
  <si>
    <t>Cheung</t>
  </si>
  <si>
    <t>E.M. Cheung</t>
  </si>
  <si>
    <t>Eunice</t>
  </si>
  <si>
    <t>Buitentuin 15</t>
  </si>
  <si>
    <t>5301 WB ZALTBOMMEL</t>
  </si>
  <si>
    <t>eunice_cheung_ms@hotmail.com</t>
  </si>
  <si>
    <t>Bestebreurtje</t>
  </si>
  <si>
    <t>T.J. Bestebreurtje</t>
  </si>
  <si>
    <t>Thijmen</t>
  </si>
  <si>
    <t>Gruttostraat 30</t>
  </si>
  <si>
    <t>3222 BB HELLEVOETSLUIS</t>
  </si>
  <si>
    <t>thijmen_bestebreurtje@hotmail.com</t>
  </si>
  <si>
    <t>Brandsma</t>
  </si>
  <si>
    <t>M.F. Brandsma</t>
  </si>
  <si>
    <t>Malusdreef 55</t>
  </si>
  <si>
    <t>3137 BW VLAARDINGEN</t>
  </si>
  <si>
    <t>martijn.brandsma@planet.nl</t>
  </si>
  <si>
    <t>Dam</t>
  </si>
  <si>
    <t>F.A.T. van Dam</t>
  </si>
  <si>
    <t>Floris</t>
  </si>
  <si>
    <t>Biesven 9</t>
  </si>
  <si>
    <t>5645 KL EINDHOVEN</t>
  </si>
  <si>
    <t>floris.vandam@hotmail.com</t>
  </si>
  <si>
    <t>W.F.J. van der Geest</t>
  </si>
  <si>
    <t>Briljantstraat 6</t>
  </si>
  <si>
    <t>2332 HW LEIDEN</t>
  </si>
  <si>
    <t>wouter_geest@hotmail.com</t>
  </si>
  <si>
    <t>Gori</t>
  </si>
  <si>
    <t>A.G.J. Gori</t>
  </si>
  <si>
    <t>Antoine</t>
  </si>
  <si>
    <t>Franse</t>
  </si>
  <si>
    <t>Oranjelaan 76</t>
  </si>
  <si>
    <t>2281 GH RIJSWIJK ZH</t>
  </si>
  <si>
    <t>antoine_gori@hotmail.com</t>
  </si>
  <si>
    <t>Groenewegen</t>
  </si>
  <si>
    <t>R.R. Groenewegen</t>
  </si>
  <si>
    <t>Rik</t>
  </si>
  <si>
    <t>Weesperzijde 15 2hg</t>
  </si>
  <si>
    <t>1091 EB AMSTERDAM</t>
  </si>
  <si>
    <t>rikrg@hotmail.com</t>
  </si>
  <si>
    <t>Holewijn</t>
  </si>
  <si>
    <t>T.J. Holewijn</t>
  </si>
  <si>
    <t>A.M. de Jongstraat 7</t>
  </si>
  <si>
    <t>3245 RK SOMMELSDIJK</t>
  </si>
  <si>
    <t>thomas.holewijn@xs4all.nl</t>
  </si>
  <si>
    <t>Rosati</t>
  </si>
  <si>
    <t>D. Rosati</t>
  </si>
  <si>
    <t>Daan</t>
  </si>
  <si>
    <t>Hengstdalseweg 65</t>
  </si>
  <si>
    <t>6523 EB NIJMEGEN</t>
  </si>
  <si>
    <t>rosati.daan@gmail.com</t>
  </si>
  <si>
    <t>Schrijver</t>
  </si>
  <si>
    <t>B.R. Schrijver</t>
  </si>
  <si>
    <t>Dishoekseweg 34</t>
  </si>
  <si>
    <t>4371 NH KOUDEKERKE</t>
  </si>
  <si>
    <t>boris@radialcontext.nl</t>
  </si>
  <si>
    <t>Sengalrayan</t>
  </si>
  <si>
    <t>P.S. Sengalrayan</t>
  </si>
  <si>
    <t>Patrick</t>
  </si>
  <si>
    <t>pat.sengalrayan@gmail.com</t>
  </si>
  <si>
    <t>Streng</t>
  </si>
  <si>
    <t>J.E. Streng</t>
  </si>
  <si>
    <t>Jurjen</t>
  </si>
  <si>
    <t>Bieslookgaarde 17</t>
  </si>
  <si>
    <t>2803 RC GOUDA</t>
  </si>
  <si>
    <t>jurjen.e.streng@live.nl</t>
  </si>
  <si>
    <t>Vallenduuk</t>
  </si>
  <si>
    <t>Y. Vallenduuk</t>
  </si>
  <si>
    <t>Yanniek</t>
  </si>
  <si>
    <t>Prof. Evertslaan 132 A</t>
  </si>
  <si>
    <t>yanniekvallenduuk@hotmail.com</t>
  </si>
  <si>
    <t>Vermeulen</t>
  </si>
  <si>
    <t>S.W.L. Vermeulen</t>
  </si>
  <si>
    <t>Mauritslaan 9</t>
  </si>
  <si>
    <t>5684 LD BEST</t>
  </si>
  <si>
    <t>sanderbmxvermeulen@gmail.com</t>
  </si>
  <si>
    <t>Wubbe</t>
  </si>
  <si>
    <t>T. Wubbe</t>
  </si>
  <si>
    <t>Leonardo Da Vincistraat 3</t>
  </si>
  <si>
    <t>3822 EH AMERSFOORT</t>
  </si>
  <si>
    <t>t.wubbe@hotmail.com</t>
  </si>
  <si>
    <t>Bazuin</t>
  </si>
  <si>
    <t>G.P.L. Bazuin</t>
  </si>
  <si>
    <t>Loes</t>
  </si>
  <si>
    <t>Van Polanenstraat 46</t>
  </si>
  <si>
    <t>3341 GP HENDRIK-IDO-AMBACHT</t>
  </si>
  <si>
    <t>loesbazuin@hotmail.com</t>
  </si>
  <si>
    <t>Adelaar</t>
  </si>
  <si>
    <t>J.L. Adelaar</t>
  </si>
  <si>
    <t>Julian</t>
  </si>
  <si>
    <t>Jan van Galenstraat 55</t>
  </si>
  <si>
    <t>2014 AH HAARLEM</t>
  </si>
  <si>
    <t>jladelaar@xs4all.nl</t>
  </si>
  <si>
    <t>Figueroa-Teran</t>
  </si>
  <si>
    <t>D.A.E. Figueroa-Teran</t>
  </si>
  <si>
    <t>Daniel</t>
  </si>
  <si>
    <t>Van der Waalsstraat 66</t>
  </si>
  <si>
    <t>2313 VE LEIDEN</t>
  </si>
  <si>
    <t>daefigo@gmail.com</t>
  </si>
  <si>
    <t>J.A. van 't Hoff</t>
  </si>
  <si>
    <t>Jurriaan</t>
  </si>
  <si>
    <t>Bennebroekerlaan 10</t>
  </si>
  <si>
    <t>2121 GR BENNEBROEK</t>
  </si>
  <si>
    <t>mrfanstast@gmail.com</t>
  </si>
  <si>
    <t>Hogendoorn</t>
  </si>
  <si>
    <t>P.J. Hogendoorn</t>
  </si>
  <si>
    <t>Paul-Jan</t>
  </si>
  <si>
    <t>Bosch 2 D</t>
  </si>
  <si>
    <t>3331 GB ZWIJNDRECHT</t>
  </si>
  <si>
    <t>pallie95@gmail.com</t>
  </si>
  <si>
    <t>Kerstens</t>
  </si>
  <si>
    <t>T.M.P. Kerstens</t>
  </si>
  <si>
    <t>Vijfhuizenberg 85</t>
  </si>
  <si>
    <t>4708 AJ ROOSENDAAL</t>
  </si>
  <si>
    <t>tim.kerstens@gmail.com</t>
  </si>
  <si>
    <t>Langhorst</t>
  </si>
  <si>
    <t>L.M. Langhorst</t>
  </si>
  <si>
    <t>Lars</t>
  </si>
  <si>
    <t>De Vrijheidswerf 5</t>
  </si>
  <si>
    <t>5247 MN ROSMALEN</t>
  </si>
  <si>
    <t>nederlander@live.com</t>
  </si>
  <si>
    <t>Leij</t>
  </si>
  <si>
    <t>M. van der Leij</t>
  </si>
  <si>
    <t>Eikenhorstweg 14</t>
  </si>
  <si>
    <t>3762 DL SOEST</t>
  </si>
  <si>
    <t>maartenleij@hotmail.com</t>
  </si>
  <si>
    <t>Pap</t>
  </si>
  <si>
    <t>D.C. Pap</t>
  </si>
  <si>
    <t>Van Ravesteyn-erf 501</t>
  </si>
  <si>
    <t>3315 DV DORDRECHT</t>
  </si>
  <si>
    <t>davidpap@live.nl</t>
  </si>
  <si>
    <t>Rijnhart</t>
  </si>
  <si>
    <t>J.M. Rijnhart</t>
  </si>
  <si>
    <t>Jelmer</t>
  </si>
  <si>
    <t>Gjalt de Jongstraat 27</t>
  </si>
  <si>
    <t>9204 LJ DRACHTEN</t>
  </si>
  <si>
    <t>jelmer-rijnhart@hotmail.com</t>
  </si>
  <si>
    <t>Vollebregt</t>
  </si>
  <si>
    <t>O. Vollebregt</t>
  </si>
  <si>
    <t>Pieter Bregmanlaan 14</t>
  </si>
  <si>
    <t>2641 PS PIJNACKER</t>
  </si>
  <si>
    <t>olavvollebregt@me.com</t>
  </si>
  <si>
    <t>Rouwé</t>
  </si>
  <si>
    <t>A.M. Rouwé</t>
  </si>
  <si>
    <t>Machteld</t>
  </si>
  <si>
    <t>Van Beuningenstraat 23</t>
  </si>
  <si>
    <t>2582 KG 'S-GRAVENHAGE</t>
  </si>
  <si>
    <t>machteldrouwe@hotmail.com</t>
  </si>
  <si>
    <t>Sloet van Oldruitenborgh</t>
  </si>
  <si>
    <t>E.G. Sloet van Oldruitenborgh</t>
  </si>
  <si>
    <t>Ellen</t>
  </si>
  <si>
    <t>Kees Boekelaan 8</t>
  </si>
  <si>
    <t>3723 BA BILTHOVEN</t>
  </si>
  <si>
    <t>ellensloet@hotmail.com</t>
  </si>
  <si>
    <t>Visser</t>
  </si>
  <si>
    <t>A. Visser</t>
  </si>
  <si>
    <t>Anouk</t>
  </si>
  <si>
    <t>Waterlelie 7</t>
  </si>
  <si>
    <t>2851 ZL HAASTRECHT</t>
  </si>
  <si>
    <t>anoukvis@hotmail.nl</t>
  </si>
  <si>
    <t>Blaauw</t>
  </si>
  <si>
    <t>D.J. Blaauw</t>
  </si>
  <si>
    <t>Verdihof 11</t>
  </si>
  <si>
    <t>2402 VA ALPHEN AAN DEN RIJN</t>
  </si>
  <si>
    <t>dblaauw@xs4all.nl</t>
  </si>
  <si>
    <t>Boots</t>
  </si>
  <si>
    <t>A.S.T. Boots</t>
  </si>
  <si>
    <t>Donata Steurhof 9</t>
  </si>
  <si>
    <t>1132 DC VOLENDAM</t>
  </si>
  <si>
    <t>jelle606@hotmail.com</t>
  </si>
  <si>
    <t>Heiden</t>
  </si>
  <si>
    <t>D.R. van der Heiden</t>
  </si>
  <si>
    <t>Prins Hendriklaan 11</t>
  </si>
  <si>
    <t>2341 JA OEGSTGEEST</t>
  </si>
  <si>
    <t>daanrobert1994@hotmail.com</t>
  </si>
  <si>
    <t>Hillen</t>
  </si>
  <si>
    <t>B. Hillen</t>
  </si>
  <si>
    <t>Kolderveen 35</t>
  </si>
  <si>
    <t>7948 NG NIJEVEEN</t>
  </si>
  <si>
    <t>bob_hillen@live.nl</t>
  </si>
  <si>
    <t>Huijer</t>
  </si>
  <si>
    <t>A.J. Huijer</t>
  </si>
  <si>
    <t>Arno</t>
  </si>
  <si>
    <t>2e Schuytstraat 103 A</t>
  </si>
  <si>
    <t>2517 XD 'S-GRAVENHAGE</t>
  </si>
  <si>
    <t>arno.jh@hotmail.com</t>
  </si>
  <si>
    <t>D.S. Jacobs</t>
  </si>
  <si>
    <t>Dangui</t>
  </si>
  <si>
    <t>Molstraat 33</t>
  </si>
  <si>
    <t>2611 EM DELFT</t>
  </si>
  <si>
    <t>d_jacobs88@hotmail.com</t>
  </si>
  <si>
    <t>Koppes</t>
  </si>
  <si>
    <t>A.H. Koppes</t>
  </si>
  <si>
    <t>Guus</t>
  </si>
  <si>
    <t>Kolblei 28</t>
  </si>
  <si>
    <t>1633 DN AVENHORN</t>
  </si>
  <si>
    <t>guuskoppes@gmail.com</t>
  </si>
  <si>
    <t>R.W. de Ruiter</t>
  </si>
  <si>
    <t>Ruben</t>
  </si>
  <si>
    <t>Dr de Visserlaan 18</t>
  </si>
  <si>
    <t>1272 GX HUIZEN</t>
  </si>
  <si>
    <t>ruben.usa@hotmail.com</t>
  </si>
  <si>
    <t>Sinnema</t>
  </si>
  <si>
    <t>S.J. Sinnema</t>
  </si>
  <si>
    <t>Noordersingel 84</t>
  </si>
  <si>
    <t>8917 BB LEEUWARDEN</t>
  </si>
  <si>
    <t>sjoerdsinnema@hotmail.com</t>
  </si>
  <si>
    <t>Trouwen</t>
  </si>
  <si>
    <t>J. Trouwen</t>
  </si>
  <si>
    <t>Zaanenlaan 154</t>
  </si>
  <si>
    <t>2024 ZD HAARLEM</t>
  </si>
  <si>
    <t>jeroentrouwen@hotmail.com</t>
  </si>
  <si>
    <t>Warner</t>
  </si>
  <si>
    <t>J.A.I. Warner</t>
  </si>
  <si>
    <t>Jamal</t>
  </si>
  <si>
    <t>Hannie Schaftrode 162</t>
  </si>
  <si>
    <t>2717 HP ZOETERMEER</t>
  </si>
  <si>
    <t>jamal_warner1@hotmail.com</t>
  </si>
  <si>
    <t>Werf</t>
  </si>
  <si>
    <t>C.H.H. van der Werf</t>
  </si>
  <si>
    <t>Coen</t>
  </si>
  <si>
    <t>Oordje 1</t>
  </si>
  <si>
    <t>8701 WD BOLSWARD</t>
  </si>
  <si>
    <t>coen.vanderwerf@gmail.com</t>
  </si>
  <si>
    <t>Blankenaar</t>
  </si>
  <si>
    <t>B.K. Blankenaar</t>
  </si>
  <si>
    <t>Britt</t>
  </si>
  <si>
    <t>Marga Klompelaan 9</t>
  </si>
  <si>
    <t>2104 TB HEEMSTEDE</t>
  </si>
  <si>
    <t>britt_blankenaar@hotmail.com</t>
  </si>
  <si>
    <t>Nijdam</t>
  </si>
  <si>
    <t>L.E. Nijdam</t>
  </si>
  <si>
    <t>Laan van Leeuwesteyn 10</t>
  </si>
  <si>
    <t>2271 HK VOORBURG</t>
  </si>
  <si>
    <t>lisanne.n@telfort.nl</t>
  </si>
  <si>
    <t>Wigchert</t>
  </si>
  <si>
    <t>E.J. Wigchert</t>
  </si>
  <si>
    <t>Wulverderlaan 9</t>
  </si>
  <si>
    <t>2071 BG SANTPOORT-NOORD</t>
  </si>
  <si>
    <t>lisanne_ej@live.nl</t>
  </si>
  <si>
    <t>Baijards</t>
  </si>
  <si>
    <t>T.W. Baijards</t>
  </si>
  <si>
    <t>Thies</t>
  </si>
  <si>
    <t>De Waterdief 86</t>
  </si>
  <si>
    <t>1911 JT UITGEEST</t>
  </si>
  <si>
    <t>thieswiebe@hotmail.com</t>
  </si>
  <si>
    <t>Berends</t>
  </si>
  <si>
    <t>C.C. Berends</t>
  </si>
  <si>
    <t>Stan</t>
  </si>
  <si>
    <t>Kloofpad 24</t>
  </si>
  <si>
    <t>2451 GC LEIMUIDEN</t>
  </si>
  <si>
    <t>stanberends_2@hotmail.com</t>
  </si>
  <si>
    <t>Hageman</t>
  </si>
  <si>
    <t>K.L. Hageman</t>
  </si>
  <si>
    <t>Kastanjelaan 20</t>
  </si>
  <si>
    <t>6581 PX MALDEN</t>
  </si>
  <si>
    <t>hageman.duenk@planet.nl</t>
  </si>
  <si>
    <t>Hu</t>
  </si>
  <si>
    <t>L. Hu</t>
  </si>
  <si>
    <t>Luoqi</t>
  </si>
  <si>
    <t>Van Heukelomstraat 218</t>
  </si>
  <si>
    <t>3067 PM ROTTERDAM</t>
  </si>
  <si>
    <t>luoqi91@gmail.com</t>
  </si>
  <si>
    <t>Joosen</t>
  </si>
  <si>
    <t>M.I. Joosen</t>
  </si>
  <si>
    <t>Max</t>
  </si>
  <si>
    <t>Ganzenweel 9</t>
  </si>
  <si>
    <t>4844 TK TERHEIJDEN</t>
  </si>
  <si>
    <t>max.joosen@hotmail.nl</t>
  </si>
  <si>
    <t>Maartens</t>
  </si>
  <si>
    <t>J.B.A. Maartens</t>
  </si>
  <si>
    <t>Jonas</t>
  </si>
  <si>
    <t>Van Bergenlaan 5</t>
  </si>
  <si>
    <t>1901 JW CASTRICUM</t>
  </si>
  <si>
    <t>jonasmaartens@gmail.com</t>
  </si>
  <si>
    <t>Slobbe</t>
  </si>
  <si>
    <t>J.J.A. Slobbe</t>
  </si>
  <si>
    <t>Lofoten 36</t>
  </si>
  <si>
    <t>2721 JC ZOETERMEER</t>
  </si>
  <si>
    <t>jasperslobbe@hotmail.com</t>
  </si>
  <si>
    <t>Tiel Groenestege</t>
  </si>
  <si>
    <t>J.J. Tiel Groenestege</t>
  </si>
  <si>
    <t>Bongert 13</t>
  </si>
  <si>
    <t>6994 BV DE STEEG</t>
  </si>
  <si>
    <t>j.tielgroenestege@gmail.com</t>
  </si>
  <si>
    <t>Tijseling</t>
  </si>
  <si>
    <t>H. Tijseling</t>
  </si>
  <si>
    <t>Hessel</t>
  </si>
  <si>
    <t>Koggewaard 129</t>
  </si>
  <si>
    <t>1824 GT ALKMAAR</t>
  </si>
  <si>
    <t>hessel.3@hotmail.com</t>
  </si>
  <si>
    <t>Versluis</t>
  </si>
  <si>
    <t>M.A. Versluis</t>
  </si>
  <si>
    <t>Brugsestraat 69</t>
  </si>
  <si>
    <t>2587 XR 'S-GRAVENHAGE</t>
  </si>
  <si>
    <t>martijnaversluis@cs.com</t>
  </si>
  <si>
    <t>B. de Visser</t>
  </si>
  <si>
    <t>Mient 23</t>
  </si>
  <si>
    <t>1901 AB CASTRICUM</t>
  </si>
  <si>
    <t>beer.devisser@hotmail.com</t>
  </si>
  <si>
    <t>Wijnja</t>
  </si>
  <si>
    <t>M.A. Wijnja</t>
  </si>
  <si>
    <t>Marten</t>
  </si>
  <si>
    <t>It Stalt 1</t>
  </si>
  <si>
    <t>8731 EA WOMMELS</t>
  </si>
  <si>
    <t>martenwijnja@gmail.com</t>
  </si>
  <si>
    <t>Ast</t>
  </si>
  <si>
    <t>B. van Ast</t>
  </si>
  <si>
    <t>Beau</t>
  </si>
  <si>
    <t>Vlietweg 14</t>
  </si>
  <si>
    <t>3314 AV DORDRECHT</t>
  </si>
  <si>
    <t>beauvanast@live.nl</t>
  </si>
  <si>
    <t>Lekkerkerk</t>
  </si>
  <si>
    <t>K. Lekkerkerk</t>
  </si>
  <si>
    <t>Kirsten</t>
  </si>
  <si>
    <t>A van 't Hartweg 54</t>
  </si>
  <si>
    <t>2913 LG NIEUWERKERK AD IJSSEL</t>
  </si>
  <si>
    <t>kirsten7954@gmail.com</t>
  </si>
  <si>
    <t>Scheffers</t>
  </si>
  <si>
    <t>E.L. Scheffers</t>
  </si>
  <si>
    <t>Evelien</t>
  </si>
  <si>
    <t>Arnhemsebovenweg 141</t>
  </si>
  <si>
    <t>3971 MD DRIEBERGEN-RIJSENBURG</t>
  </si>
  <si>
    <t>el_scheffers@hotmail.com</t>
  </si>
  <si>
    <t>Bertz</t>
  </si>
  <si>
    <t>T.R. Bertz</t>
  </si>
  <si>
    <t>Tjeerd</t>
  </si>
  <si>
    <t>Menno ter Braaklaan 1</t>
  </si>
  <si>
    <t>2343 KP OEGSTGEEST</t>
  </si>
  <si>
    <t>t.jeerd@live.nl</t>
  </si>
  <si>
    <t>Eijgenraam</t>
  </si>
  <si>
    <t>K.S. Eijgenraam</t>
  </si>
  <si>
    <t>Mirtebes 7</t>
  </si>
  <si>
    <t>2318 AW LEIDEN</t>
  </si>
  <si>
    <t>koen.eijg@hotmail.com</t>
  </si>
  <si>
    <t>Hijfte</t>
  </si>
  <si>
    <t>Z.Z. van Hijfte</t>
  </si>
  <si>
    <t>Zasha</t>
  </si>
  <si>
    <t>Emmalaan 4</t>
  </si>
  <si>
    <t>3972 EZ DRIEBERGEN-RIJSENBURG</t>
  </si>
  <si>
    <t>zasha_van_hijfte@hotmail.com</t>
  </si>
  <si>
    <t>Keij</t>
  </si>
  <si>
    <t>S.R. Keij</t>
  </si>
  <si>
    <t>Siemon</t>
  </si>
  <si>
    <t>F.C. Dondersstraat 9</t>
  </si>
  <si>
    <t>1402 CE BUSSUM</t>
  </si>
  <si>
    <t>siemkeij@gmail.com</t>
  </si>
  <si>
    <t>Schrijen</t>
  </si>
  <si>
    <t>R.R. Schrijen</t>
  </si>
  <si>
    <t>Remy</t>
  </si>
  <si>
    <t>Cadmiumgeel 24</t>
  </si>
  <si>
    <t>2718 BK ZOETERMEER</t>
  </si>
  <si>
    <t>r.schrijen@gmail.com</t>
  </si>
  <si>
    <t>Seuren</t>
  </si>
  <si>
    <t>J.J. Seuren</t>
  </si>
  <si>
    <t>Job</t>
  </si>
  <si>
    <t>Polderweg 6</t>
  </si>
  <si>
    <t>4664 PB LEPELSTRAAT</t>
  </si>
  <si>
    <t>job.seuren@gmail.com</t>
  </si>
  <si>
    <t>Tongeren</t>
  </si>
  <si>
    <t>L.J. van Tongeren</t>
  </si>
  <si>
    <t>Lindert</t>
  </si>
  <si>
    <t>Leidseplein 2 haarlem</t>
  </si>
  <si>
    <t>2013 PX HAARLEM</t>
  </si>
  <si>
    <t>lindert.van.tongeren@xs4all.nl</t>
  </si>
  <si>
    <t>Vos</t>
  </si>
  <si>
    <t>J. de Vos</t>
  </si>
  <si>
    <t>Jiri</t>
  </si>
  <si>
    <t>Burgemeester Bickerstr 45</t>
  </si>
  <si>
    <t>1111 CA DIEMEN</t>
  </si>
  <si>
    <t>jiridevos@gmail.com</t>
  </si>
  <si>
    <t>Wagemaker</t>
  </si>
  <si>
    <t>S.J. Wagemaker</t>
  </si>
  <si>
    <t>C. van Eesterenplein 142</t>
  </si>
  <si>
    <t>1333 KS ALMERE</t>
  </si>
  <si>
    <t>bas_wagemaker@hotmail.com</t>
  </si>
  <si>
    <t>Wijsman</t>
  </si>
  <si>
    <t>B.C. Wijsman</t>
  </si>
  <si>
    <t>Holterweg 94</t>
  </si>
  <si>
    <t>7429 AH COLMSCHATE</t>
  </si>
  <si>
    <t>b_wijsman@live.nl</t>
  </si>
  <si>
    <t>Bouwman</t>
  </si>
  <si>
    <t>L. Bouwman</t>
  </si>
  <si>
    <t>Lieve</t>
  </si>
  <si>
    <t>Annastraat 16</t>
  </si>
  <si>
    <t>6862 CH OOSTERBEEK</t>
  </si>
  <si>
    <t>lieve_bouwman@hotmail.com</t>
  </si>
  <si>
    <t>Donkersloot</t>
  </si>
  <si>
    <t>E. Donkersloot</t>
  </si>
  <si>
    <t>Eline</t>
  </si>
  <si>
    <t>Wijerveldstraat 69A</t>
  </si>
  <si>
    <t>3500 Hasselt</t>
  </si>
  <si>
    <t>eline.donkersloot@skynet.be</t>
  </si>
  <si>
    <t>H.M.J. De Meester</t>
  </si>
  <si>
    <t>Hadewich</t>
  </si>
  <si>
    <t>Driegaaienstraat 173</t>
  </si>
  <si>
    <t>9100 Sint-Niklaas</t>
  </si>
  <si>
    <t>driegaaien@skynet.be</t>
  </si>
  <si>
    <t>Capkin</t>
  </si>
  <si>
    <t>M.C. Capkin</t>
  </si>
  <si>
    <t>Mert</t>
  </si>
  <si>
    <t>Johan Wagenaarlaan 12</t>
  </si>
  <si>
    <t>2132 KE HOOFDDORP</t>
  </si>
  <si>
    <t>mertcapkin@gmail.com</t>
  </si>
  <si>
    <t>Heijden</t>
  </si>
  <si>
    <t>H.H.J. van der Heijden</t>
  </si>
  <si>
    <t>Broekwal 29</t>
  </si>
  <si>
    <t>5268 HA HELVOIRT</t>
  </si>
  <si>
    <t>info@hugovanderheijden.nl</t>
  </si>
  <si>
    <t>Lucas</t>
  </si>
  <si>
    <t>F.Q. Lucas</t>
  </si>
  <si>
    <t>Floryn</t>
  </si>
  <si>
    <t>Onderlangs 10</t>
  </si>
  <si>
    <t>3062 CK ROTTERDAM</t>
  </si>
  <si>
    <t>floryn@onderlangs10.nl</t>
  </si>
  <si>
    <t>Recillas Pacheco</t>
  </si>
  <si>
    <t>Y.B. Recillas Pacheco</t>
  </si>
  <si>
    <t>Yasper</t>
  </si>
  <si>
    <t>Olivier van Noortstraat 26</t>
  </si>
  <si>
    <t>4812 RC BREDA</t>
  </si>
  <si>
    <t>yasper.recillas@hotmail.com</t>
  </si>
  <si>
    <t>Sterk</t>
  </si>
  <si>
    <t>H.N.H. Sterk</t>
  </si>
  <si>
    <t>Hidde</t>
  </si>
  <si>
    <t>Zocherstraat 131</t>
  </si>
  <si>
    <t>3067 AV ROTTERDAM</t>
  </si>
  <si>
    <t>hiddesterk@hotmail.com</t>
  </si>
  <si>
    <t>Uittenbroek</t>
  </si>
  <si>
    <t>L.H. Uittenbroek</t>
  </si>
  <si>
    <t>Lennard</t>
  </si>
  <si>
    <t>Eendenparkweg 13 2 BY</t>
  </si>
  <si>
    <t>3852 LD ERMELO</t>
  </si>
  <si>
    <t>lennarduittenbroek@live.nl</t>
  </si>
  <si>
    <t>Breedveld</t>
  </si>
  <si>
    <t>P.J. Breedveld</t>
  </si>
  <si>
    <t>Pam</t>
  </si>
  <si>
    <t>Graaf Florisweg 46</t>
  </si>
  <si>
    <t>2805 AM GOUDA</t>
  </si>
  <si>
    <t>pam1995@live.nl</t>
  </si>
  <si>
    <t>Bijker</t>
  </si>
  <si>
    <t>L.A. Bijker</t>
  </si>
  <si>
    <t>G. Pirestraat 57</t>
  </si>
  <si>
    <t>9728 WK GRONINGEN</t>
  </si>
  <si>
    <t>laurens_ab@hotmail.com</t>
  </si>
  <si>
    <t>Gürler</t>
  </si>
  <si>
    <t>C. Gürler</t>
  </si>
  <si>
    <t>cuma</t>
  </si>
  <si>
    <t>Karveelstraat 8</t>
  </si>
  <si>
    <t>1503 BG ZAANDAM</t>
  </si>
  <si>
    <t>cumagurler@gmail.com</t>
  </si>
  <si>
    <t>Hoorneman</t>
  </si>
  <si>
    <t>J.D. Hoorneman</t>
  </si>
  <si>
    <t>Spoorlaan 31</t>
  </si>
  <si>
    <t>3721 PA BILTHOVEN</t>
  </si>
  <si>
    <t>jochem.hoorneman@outlook.com</t>
  </si>
  <si>
    <t>Mulder</t>
  </si>
  <si>
    <t>D.M. Mulder</t>
  </si>
  <si>
    <t>Dies</t>
  </si>
  <si>
    <t>Egelantiersstraat 260</t>
  </si>
  <si>
    <t>1015 PT AMSTERDAM</t>
  </si>
  <si>
    <t>dies.m@hotmail.com</t>
  </si>
  <si>
    <t>Schepers</t>
  </si>
  <si>
    <t>J.M. Schepers</t>
  </si>
  <si>
    <t>Hoge Zijde 41</t>
  </si>
  <si>
    <t>4854 AG BAVEL</t>
  </si>
  <si>
    <t>jobschepers@me.com</t>
  </si>
  <si>
    <t>D.J.L. Seegers</t>
  </si>
  <si>
    <t>Hoogstuk 52 BY</t>
  </si>
  <si>
    <t>6651 ER DRUTEN</t>
  </si>
  <si>
    <t>daanseegers01@gmail.com</t>
  </si>
  <si>
    <t>Stolk</t>
  </si>
  <si>
    <t>B.E. Stolk</t>
  </si>
  <si>
    <t>Arnemuiderpad 8</t>
  </si>
  <si>
    <t>2652 EV BERKEL EN RODENRIJS</t>
  </si>
  <si>
    <t>bart_de_basketballer_700@hotmail.com</t>
  </si>
  <si>
    <t>Stuyling de Lange</t>
  </si>
  <si>
    <t>V.J.A. Stuyling de Lange</t>
  </si>
  <si>
    <t>Vosse</t>
  </si>
  <si>
    <t>Libanonweg 30 c</t>
  </si>
  <si>
    <t>3061 KJ ROTTERDAM</t>
  </si>
  <si>
    <t>vossestuyling@gmail.com</t>
  </si>
  <si>
    <t>Claessens</t>
  </si>
  <si>
    <t>D.A.M. Claessens</t>
  </si>
  <si>
    <t>Speenkruidstraat 17</t>
  </si>
  <si>
    <t>2555 PN 'S-GRAVENHAGE</t>
  </si>
  <si>
    <t>daantje_ctje@hotmail.com</t>
  </si>
  <si>
    <t>Graaf</t>
  </si>
  <si>
    <t>A.J. van der Graaf</t>
  </si>
  <si>
    <t>De Regge 1</t>
  </si>
  <si>
    <t>5626 GZ EINDHOVEN</t>
  </si>
  <si>
    <t>alibaba_264@hotmail.com</t>
  </si>
  <si>
    <t>Hoek</t>
  </si>
  <si>
    <t>W. Hoek</t>
  </si>
  <si>
    <t>De Meente 16</t>
  </si>
  <si>
    <t>3823 GR AMERSFOORT</t>
  </si>
  <si>
    <t>wouterh1996@gmail.com</t>
  </si>
  <si>
    <t>Huygen</t>
  </si>
  <si>
    <t>W.J.M. Huygen</t>
  </si>
  <si>
    <t>Burg de Villeneuvesingel 4</t>
  </si>
  <si>
    <t>3055 AN ROTTERDAM</t>
  </si>
  <si>
    <t>f.huygen@hetnet.nl</t>
  </si>
  <si>
    <t>Nooy</t>
  </si>
  <si>
    <t>S. de Nooy</t>
  </si>
  <si>
    <t>Dirkje Goedhartstraat 18</t>
  </si>
  <si>
    <t>3065 HH ROTTERDAM</t>
  </si>
  <si>
    <t>sam_de_nooy@live.nl</t>
  </si>
  <si>
    <t>Staats</t>
  </si>
  <si>
    <t>L.T. Staats</t>
  </si>
  <si>
    <t>de Laat de Kanterstraat 42</t>
  </si>
  <si>
    <t>2313 JV LEIDEN</t>
  </si>
  <si>
    <t>laurens.33@hotmail.com</t>
  </si>
  <si>
    <t>Baren</t>
  </si>
  <si>
    <t>R. van Baren</t>
  </si>
  <si>
    <t>Nederlands</t>
  </si>
  <si>
    <t>rutgervanbaren@gmail.com</t>
  </si>
  <si>
    <t>Crompvoets</t>
  </si>
  <si>
    <t>J.P.A. Crompvoets</t>
  </si>
  <si>
    <t>Rietveldstraat 1</t>
  </si>
  <si>
    <t>6132 SB SITTARD</t>
  </si>
  <si>
    <t>tennispro84_jeroen@hotmail.com</t>
  </si>
  <si>
    <t>R. van Dijk</t>
  </si>
  <si>
    <t>Raymond</t>
  </si>
  <si>
    <t>Fabianusstraat 33</t>
  </si>
  <si>
    <t>7333 BC APELDOORN</t>
  </si>
  <si>
    <t>vandijkraymond@gmail.com</t>
  </si>
  <si>
    <t>Dijkstra</t>
  </si>
  <si>
    <t>J.J. Dijkstra</t>
  </si>
  <si>
    <t>Waardenburg 125</t>
  </si>
  <si>
    <t>2181 LR HILLEGOM</t>
  </si>
  <si>
    <t>joostdijkstra1995@gmail.com</t>
  </si>
  <si>
    <t>Lardinois</t>
  </si>
  <si>
    <t>J.C. Lardinois</t>
  </si>
  <si>
    <t>Joris</t>
  </si>
  <si>
    <t>Beeklaan 426</t>
  </si>
  <si>
    <t>2562 BJ 'S-GRAVENHAGE</t>
  </si>
  <si>
    <t>joris.lardinois@live.nl</t>
  </si>
  <si>
    <t>Rogier</t>
  </si>
  <si>
    <t>rogier.maruis@hotmail.com</t>
  </si>
  <si>
    <t>Mihalevschi</t>
  </si>
  <si>
    <t>A.I. Mihalevschi</t>
  </si>
  <si>
    <t>Anton</t>
  </si>
  <si>
    <t>Elly Kerckhoffskade 10</t>
  </si>
  <si>
    <t>2324 DH LEIDEN</t>
  </si>
  <si>
    <t>anton.mlp@gmail.com</t>
  </si>
  <si>
    <t>Ooijen</t>
  </si>
  <si>
    <t>J.A.K. van Ooijen</t>
  </si>
  <si>
    <t>Willem Barentszlaan 74</t>
  </si>
  <si>
    <t>2253 KB VOORSCHOTEN</t>
  </si>
  <si>
    <t>jacobvanooijen@gmail.com</t>
  </si>
  <si>
    <t>Tulling</t>
  </si>
  <si>
    <t>G.M. Tulling</t>
  </si>
  <si>
    <t>Gideon</t>
  </si>
  <si>
    <t>Berkenrijsweg 10</t>
  </si>
  <si>
    <t>3233 KH OOSTVOORNE</t>
  </si>
  <si>
    <t>gtxnl@live.nl</t>
  </si>
  <si>
    <t>K. Verbruggen</t>
  </si>
  <si>
    <t>Weigelialaan 56</t>
  </si>
  <si>
    <t>3053 PP ROTTERDAM</t>
  </si>
  <si>
    <t>koen_verbruggen@msn.com</t>
  </si>
  <si>
    <t>Antonisse</t>
  </si>
  <si>
    <t>S.J. Antonisse</t>
  </si>
  <si>
    <t>Stijn</t>
  </si>
  <si>
    <t>Ravelijn 19</t>
  </si>
  <si>
    <t>4844 BS TERHEIJDEN</t>
  </si>
  <si>
    <t>stijn19s@live.nl</t>
  </si>
  <si>
    <t>Bos</t>
  </si>
  <si>
    <t>M. Bos</t>
  </si>
  <si>
    <t>Mathijs</t>
  </si>
  <si>
    <t>Meerdijk 27</t>
  </si>
  <si>
    <t>5144 NL WAALWIJK</t>
  </si>
  <si>
    <t>mathijs.bos@live.nl</t>
  </si>
  <si>
    <t>Halilovic</t>
  </si>
  <si>
    <t>H. Halilovic</t>
  </si>
  <si>
    <t>Haris</t>
  </si>
  <si>
    <t>Erasmusstraat 79</t>
  </si>
  <si>
    <t>3035 LD ROTTERDAM</t>
  </si>
  <si>
    <t>haris_19_94@hotmail.com</t>
  </si>
  <si>
    <t>R.J.M. Hendriks</t>
  </si>
  <si>
    <t>Roy</t>
  </si>
  <si>
    <t>Didamseweg 76</t>
  </si>
  <si>
    <t>6901 JT ZEVENAAR</t>
  </si>
  <si>
    <t>roy7646@gmail.com</t>
  </si>
  <si>
    <t>Niele</t>
  </si>
  <si>
    <t>B. Niele</t>
  </si>
  <si>
    <t>Romerkerkweg 91</t>
  </si>
  <si>
    <t>1943 EX BEVERWIJK</t>
  </si>
  <si>
    <t>bramniele@live.nl</t>
  </si>
  <si>
    <t>Oprinsen</t>
  </si>
  <si>
    <t>C.P.L. Oprinsen</t>
  </si>
  <si>
    <t>Carl</t>
  </si>
  <si>
    <t>F Oprinsen-XCC, PDO, PO Box 81</t>
  </si>
  <si>
    <t>100 Muscat</t>
  </si>
  <si>
    <t>Oman</t>
  </si>
  <si>
    <t>frankoprinsen@me.com</t>
  </si>
  <si>
    <t>Teunissen</t>
  </si>
  <si>
    <t>É.M. Teunissen</t>
  </si>
  <si>
    <t>Étienne</t>
  </si>
  <si>
    <t>Gouddonk 20</t>
  </si>
  <si>
    <t>4824 DG BREDA</t>
  </si>
  <si>
    <t>etienneteunissen@hotmail.com</t>
  </si>
  <si>
    <t>Hattum</t>
  </si>
  <si>
    <t>N.A.M. van Hattum</t>
  </si>
  <si>
    <t>Nienke</t>
  </si>
  <si>
    <t>Populierenlaan 6</t>
  </si>
  <si>
    <t>2181 KC HILLEGOM</t>
  </si>
  <si>
    <t>nienke.hattum@gmail.com</t>
  </si>
  <si>
    <t>Araujo</t>
  </si>
  <si>
    <t>M.R.K. Araujo</t>
  </si>
  <si>
    <t>Matias</t>
  </si>
  <si>
    <t>Sartrezijde 50</t>
  </si>
  <si>
    <t>2725 PR ZOETERMEER</t>
  </si>
  <si>
    <t>matiasaraujonl@gmail.com</t>
  </si>
  <si>
    <t>Boogaart</t>
  </si>
  <si>
    <t>L.M. van den Boogaart</t>
  </si>
  <si>
    <t>Luc</t>
  </si>
  <si>
    <t>Snipweg 16</t>
  </si>
  <si>
    <t>5451 VP MILL</t>
  </si>
  <si>
    <t>lucvdboogaart@gmail.com</t>
  </si>
  <si>
    <t>Braemer</t>
  </si>
  <si>
    <t>A. Braemer</t>
  </si>
  <si>
    <t>Arjan</t>
  </si>
  <si>
    <t>Schothorstlaan 10</t>
  </si>
  <si>
    <t>3207 ZD SPIJKENISSE</t>
  </si>
  <si>
    <t>arjan.__@hotmail.com</t>
  </si>
  <si>
    <t>Fritz</t>
  </si>
  <si>
    <t>A.J.F.D. Fritz</t>
  </si>
  <si>
    <t>Casper</t>
  </si>
  <si>
    <t>Spaansezoom 37</t>
  </si>
  <si>
    <t>2912 GD NIEUWERKERK AD IJSSEL</t>
  </si>
  <si>
    <t>casper.fritz@tiscali.nl</t>
  </si>
  <si>
    <t>Keijser</t>
  </si>
  <si>
    <t>A.N. Keijser</t>
  </si>
  <si>
    <t>Amos</t>
  </si>
  <si>
    <t>Pomonalaan 46</t>
  </si>
  <si>
    <t>2564 XX 'S-GRAVENHAGE</t>
  </si>
  <si>
    <t>amos.keijser@hotmail.com</t>
  </si>
  <si>
    <t>Oskam</t>
  </si>
  <si>
    <t>R. Oskam</t>
  </si>
  <si>
    <t>Bertha von Suttnerstraat 13</t>
  </si>
  <si>
    <t>2131 VW HOOFDDORP</t>
  </si>
  <si>
    <t>rickoskamster@gmail.com</t>
  </si>
  <si>
    <t>Steverink</t>
  </si>
  <si>
    <t>L.C. Steverink</t>
  </si>
  <si>
    <t>Groen van Prinstererlaan 33</t>
  </si>
  <si>
    <t>1272 GB HUIZEN</t>
  </si>
  <si>
    <t>larst107@hotmail.com</t>
  </si>
  <si>
    <t>Bock</t>
  </si>
  <si>
    <t>Amaury</t>
  </si>
  <si>
    <t>amaury.debock@gmail.com</t>
  </si>
  <si>
    <t>Batist</t>
  </si>
  <si>
    <t>B. Batist</t>
  </si>
  <si>
    <t>Ben</t>
  </si>
  <si>
    <t>Albrandswaardseweg 60</t>
  </si>
  <si>
    <t>3171 AC POORTUGAAL</t>
  </si>
  <si>
    <t>benbatist@hotmail.com</t>
  </si>
  <si>
    <t>Hofhuis</t>
  </si>
  <si>
    <t>L.A.M. Hofhuis</t>
  </si>
  <si>
    <t>Luuk</t>
  </si>
  <si>
    <t>Kapsweg 44</t>
  </si>
  <si>
    <t>7651 KN TUBBERGEN</t>
  </si>
  <si>
    <t>luukhofhuis@gmail.com</t>
  </si>
  <si>
    <t>Lende</t>
  </si>
  <si>
    <t>H.J.H. van der Lende</t>
  </si>
  <si>
    <t>Herenstraat 12</t>
  </si>
  <si>
    <t>4331 JT MIDDELBURG</t>
  </si>
  <si>
    <t>hidpid@hotmail.com</t>
  </si>
  <si>
    <t>Meeuwisse</t>
  </si>
  <si>
    <t>L. Meeuwisse</t>
  </si>
  <si>
    <t>Kajak 20</t>
  </si>
  <si>
    <t>3904 ZW VEENENDAAL</t>
  </si>
  <si>
    <t>larsmwss@gmail.com</t>
  </si>
  <si>
    <t>Verhagen</t>
  </si>
  <si>
    <t>J.D. Verhagen</t>
  </si>
  <si>
    <t>Eleonoraweg 19</t>
  </si>
  <si>
    <t>6523 MX NIJMEGEN</t>
  </si>
  <si>
    <t>j.d.verhagen@gmail.com</t>
  </si>
  <si>
    <t>Vermeeren</t>
  </si>
  <si>
    <t>J.A.J. Vermeeren</t>
  </si>
  <si>
    <t>Jimmy</t>
  </si>
  <si>
    <t>Zeggeveen 4</t>
  </si>
  <si>
    <t>4823 HM BREDA</t>
  </si>
  <si>
    <t>jimmy-neutron-95@hotmail.com</t>
  </si>
  <si>
    <t>R.A. van Vliet</t>
  </si>
  <si>
    <t>Rob</t>
  </si>
  <si>
    <t>Dorp 169</t>
  </si>
  <si>
    <t>3405 BC BENSCHOP</t>
  </si>
  <si>
    <t>rob_van_vl@hotmail.com</t>
  </si>
  <si>
    <t>Elschot</t>
  </si>
  <si>
    <t>S.A.M. Elschot</t>
  </si>
  <si>
    <t>Sanne</t>
  </si>
  <si>
    <t>Patronaatsstraat 40</t>
  </si>
  <si>
    <t>7131 CH LICHTENVOORDE</t>
  </si>
  <si>
    <t>sanne_26@msn.com</t>
  </si>
  <si>
    <t>Brison</t>
  </si>
  <si>
    <t>D.L. Brison</t>
  </si>
  <si>
    <t>Daron</t>
  </si>
  <si>
    <t>Waldorpstraat 45 178</t>
  </si>
  <si>
    <t>2521 CA 'S-GRAVENHAGE</t>
  </si>
  <si>
    <t>brisondl@gmail.com</t>
  </si>
  <si>
    <t>Burg</t>
  </si>
  <si>
    <t>P.M. van der Burg</t>
  </si>
  <si>
    <t>Thijs</t>
  </si>
  <si>
    <t>Peruplantsoen 5</t>
  </si>
  <si>
    <t>5152 ML DRUNEN</t>
  </si>
  <si>
    <t>thijsvanderburg@hotmail.com</t>
  </si>
  <si>
    <t>Henkelman</t>
  </si>
  <si>
    <t>W.J.G. Henkelman</t>
  </si>
  <si>
    <t>Willem Henkelma</t>
  </si>
  <si>
    <t>Blijdensteinlaan 8</t>
  </si>
  <si>
    <t>1217 PE HILVERSUM</t>
  </si>
  <si>
    <t>willem.henkelman@gmail.com</t>
  </si>
  <si>
    <t>Mersie</t>
  </si>
  <si>
    <t>M.L.J. Mersie</t>
  </si>
  <si>
    <t>Michaël</t>
  </si>
  <si>
    <t>Seisbolwerk 10</t>
  </si>
  <si>
    <t>4331 RD MIDDELBURG</t>
  </si>
  <si>
    <t>mljmersie@gmail.com</t>
  </si>
  <si>
    <t>Verzendaal</t>
  </si>
  <si>
    <t>J.M. Verzendaal</t>
  </si>
  <si>
    <t>Jan Maarten</t>
  </si>
  <si>
    <t>Paulus Pottersingel 37</t>
  </si>
  <si>
    <t>3262 VH OUD-BEIJERLAND</t>
  </si>
  <si>
    <t>jmverzendaal@gmail.com</t>
  </si>
  <si>
    <t>Vo</t>
  </si>
  <si>
    <t>P. Vo</t>
  </si>
  <si>
    <t>Phuong Vo</t>
  </si>
  <si>
    <t>Hoofdstraat 36</t>
  </si>
  <si>
    <t>5171 DD KAATSHEUVEL</t>
  </si>
  <si>
    <t>phuong2012@hotmail.com</t>
  </si>
  <si>
    <t>Boortman</t>
  </si>
  <si>
    <t>J. Boortman</t>
  </si>
  <si>
    <t>Helmonds</t>
  </si>
  <si>
    <t>J.T. Helmonds</t>
  </si>
  <si>
    <t>Joep</t>
  </si>
  <si>
    <t>Zandberglaan 18</t>
  </si>
  <si>
    <t>4818 GK BREDA</t>
  </si>
  <si>
    <t>joep@helmonds.nl</t>
  </si>
  <si>
    <t>Izarin</t>
  </si>
  <si>
    <t>M.D. Izarin</t>
  </si>
  <si>
    <t>Milan</t>
  </si>
  <si>
    <t>Hoofdstraat 49</t>
  </si>
  <si>
    <t>3971 KB DRIEBERGEN-RIJSENBURG</t>
  </si>
  <si>
    <t>milan.izarin@hotmail.com</t>
  </si>
  <si>
    <t>Knottnerus</t>
  </si>
  <si>
    <t>B.R. Knottnerus</t>
  </si>
  <si>
    <t>Bauke</t>
  </si>
  <si>
    <t>Zomerland 2</t>
  </si>
  <si>
    <t>4761 TC ZEVENBERGEN</t>
  </si>
  <si>
    <t>arnoldknottnerus@hotmail.com</t>
  </si>
  <si>
    <t>Maliepaard</t>
  </si>
  <si>
    <t>J.C.L. Maliepaard</t>
  </si>
  <si>
    <t>Joshua</t>
  </si>
  <si>
    <t>Oudelandsedijk 79</t>
  </si>
  <si>
    <t>3241 LL MIDDELHARNIS</t>
  </si>
  <si>
    <t>joshuamaliepaard@hotmail.com</t>
  </si>
  <si>
    <t>Pesselse</t>
  </si>
  <si>
    <t>M. Pesselse</t>
  </si>
  <si>
    <t>Kwartslaan 131</t>
  </si>
  <si>
    <t>3162 RD RHOON</t>
  </si>
  <si>
    <t>mike.pesselse@hotmail.com</t>
  </si>
  <si>
    <t>Stoeten</t>
  </si>
  <si>
    <t>V.E. Stoeten</t>
  </si>
  <si>
    <t>Victor</t>
  </si>
  <si>
    <t>King Oliverlaan 2</t>
  </si>
  <si>
    <t>5629 RL EINDHOVEN</t>
  </si>
  <si>
    <t>victor@stoeten.eu</t>
  </si>
  <si>
    <t>Timmers</t>
  </si>
  <si>
    <t>G.J. Timmers</t>
  </si>
  <si>
    <t>Nathan</t>
  </si>
  <si>
    <t>Rietgors 8</t>
  </si>
  <si>
    <t>2953 GA ALBLASSERDAM</t>
  </si>
  <si>
    <t>nathan.t@filternet.nl</t>
  </si>
  <si>
    <t>Hajee</t>
  </si>
  <si>
    <t>B. Hajee</t>
  </si>
  <si>
    <t>Van Rijckevorselhaven 5</t>
  </si>
  <si>
    <t>2993 HK BARENDRECHT</t>
  </si>
  <si>
    <t>bramhj@hotmail.com</t>
  </si>
  <si>
    <t>Keesmaat</t>
  </si>
  <si>
    <t>P. Keesmaat</t>
  </si>
  <si>
    <t>Besten van Brienenstr 8</t>
  </si>
  <si>
    <t>2636 HP SCHIPLUIDEN</t>
  </si>
  <si>
    <t>patrick@keesmaat.nl</t>
  </si>
  <si>
    <t>Leffelaar</t>
  </si>
  <si>
    <t>D.C. Leffelaar</t>
  </si>
  <si>
    <t>Floris van Boekhorststr 1</t>
  </si>
  <si>
    <t>3633 CN VREELAND</t>
  </si>
  <si>
    <t>daniel.leffelaar@hotmail.com</t>
  </si>
  <si>
    <t>Oudmaijer</t>
  </si>
  <si>
    <t>D.J. Oudmaijer</t>
  </si>
  <si>
    <t>Tubasingel 22</t>
  </si>
  <si>
    <t>2287 CM RIJSWIJK ZH</t>
  </si>
  <si>
    <t>djdennis95@hotmail.com</t>
  </si>
  <si>
    <t>M.J. Stolk</t>
  </si>
  <si>
    <t>Ohmstraat 7 hs</t>
  </si>
  <si>
    <t>1098 ST AMSTERDAM</t>
  </si>
  <si>
    <t>maarten.j.stolk@gmail.com</t>
  </si>
  <si>
    <t>Theulings</t>
  </si>
  <si>
    <t>M.J.B. Theulings</t>
  </si>
  <si>
    <t>Christiaan de Wetstraat 14</t>
  </si>
  <si>
    <t>2806 VC GOUDA</t>
  </si>
  <si>
    <t>maarten.theulings@hotmail.com</t>
  </si>
  <si>
    <t>Wouterse</t>
  </si>
  <si>
    <t>L. Wouterse</t>
  </si>
  <si>
    <t>Smaragd 12</t>
  </si>
  <si>
    <t>3641 XL MIJDRECHT</t>
  </si>
  <si>
    <t>lars_wouterse@hotmail.com</t>
  </si>
  <si>
    <t>L.H. Boogaart</t>
  </si>
  <si>
    <t>Lukas</t>
  </si>
  <si>
    <t>Badhuiskade 9</t>
  </si>
  <si>
    <t>2586 EM 'S-GRAVENHAGE</t>
  </si>
  <si>
    <t>hrboogaart@xs4all.nl</t>
  </si>
  <si>
    <t>Hesselmans</t>
  </si>
  <si>
    <t>T.M. Hesselmans</t>
  </si>
  <si>
    <t>Stetweg 31</t>
  </si>
  <si>
    <t>1901 JC CASTRICUM</t>
  </si>
  <si>
    <t>timhesselmans@hotmail.com</t>
  </si>
  <si>
    <t>Kruissink</t>
  </si>
  <si>
    <t>B. Kruissink</t>
  </si>
  <si>
    <t>Slotlaan 95</t>
  </si>
  <si>
    <t>7006 HC DOETINCHEM</t>
  </si>
  <si>
    <t>bassieandriaan@hotmail.com</t>
  </si>
  <si>
    <t>Ranitz</t>
  </si>
  <si>
    <t>E.J. de Ranitz</t>
  </si>
  <si>
    <t>Eric</t>
  </si>
  <si>
    <t>Admiraalsborch 2</t>
  </si>
  <si>
    <t>3992 CP HOUTEN</t>
  </si>
  <si>
    <t>ericjan1994@hotmail.com</t>
  </si>
  <si>
    <t>Steenkamp</t>
  </si>
  <si>
    <t>A.S.M. Steenkamp</t>
  </si>
  <si>
    <t>Teun</t>
  </si>
  <si>
    <t>Hoge Limiet 187</t>
  </si>
  <si>
    <t>3053 KT ROTTERDAM</t>
  </si>
  <si>
    <t>asm.steenkamp@gmail.com</t>
  </si>
  <si>
    <t>Sunder</t>
  </si>
  <si>
    <t>R.H.R. Sunder</t>
  </si>
  <si>
    <t>Rolf</t>
  </si>
  <si>
    <t>Gaagweg 28</t>
  </si>
  <si>
    <t>2636 AJ SCHIPLUIDEN</t>
  </si>
  <si>
    <t>rolfsunder@live.nl</t>
  </si>
  <si>
    <t>Tjeenk Willink</t>
  </si>
  <si>
    <t>T.B. Tjeenk Willink</t>
  </si>
  <si>
    <t>Berkenlaan 5</t>
  </si>
  <si>
    <t>8162 NX EPE</t>
  </si>
  <si>
    <t>ttjeenk@gmail.com</t>
  </si>
  <si>
    <t>Koudstaal</t>
  </si>
  <si>
    <t>K.M.L. Koudstaal</t>
  </si>
  <si>
    <t>Kim</t>
  </si>
  <si>
    <t>Concertweg 90</t>
  </si>
  <si>
    <t>2992 NP BARENDRECHT</t>
  </si>
  <si>
    <t>pko@syntens.nl</t>
  </si>
  <si>
    <t>Attalki</t>
  </si>
  <si>
    <t>A. Attalki</t>
  </si>
  <si>
    <t>akil</t>
  </si>
  <si>
    <t>Woelwijkstraat 62 a</t>
  </si>
  <si>
    <t>3035 VV ROTTERDAM</t>
  </si>
  <si>
    <t>akil.attalki@hotmail.com</t>
  </si>
  <si>
    <t>C.M. van der Geest</t>
  </si>
  <si>
    <t>zeurg@hotmail.com</t>
  </si>
  <si>
    <t>Hilhorst</t>
  </si>
  <si>
    <t>A.T.H. Hilhorst</t>
  </si>
  <si>
    <t>Arnout</t>
  </si>
  <si>
    <t>Sparrenlaan 44</t>
  </si>
  <si>
    <t>3941 GM DOORN</t>
  </si>
  <si>
    <t>arnout@cata.nl</t>
  </si>
  <si>
    <t>Soerdjbalie</t>
  </si>
  <si>
    <t>A.R. Soerdjbalie</t>
  </si>
  <si>
    <t>Akash</t>
  </si>
  <si>
    <t>Quitoplantsoen 22</t>
  </si>
  <si>
    <t>2548 HL 'S-GRAVENHAGE</t>
  </si>
  <si>
    <t>akash_s@live.nl</t>
  </si>
  <si>
    <t>Stigter</t>
  </si>
  <si>
    <t>M. Stigter</t>
  </si>
  <si>
    <t>Rens</t>
  </si>
  <si>
    <t>Brugweg 90</t>
  </si>
  <si>
    <t>2741 KZ WADDINXVEEN</t>
  </si>
  <si>
    <t>rensstigter@hotmail.com</t>
  </si>
  <si>
    <t>Yahyaoui</t>
  </si>
  <si>
    <t>Y. El Yahyaoui</t>
  </si>
  <si>
    <t>Yassin</t>
  </si>
  <si>
    <t>De Morinel 374</t>
  </si>
  <si>
    <t>8251 JH DRONTEN</t>
  </si>
  <si>
    <t>yassin001@live.nl</t>
  </si>
  <si>
    <t>Driel</t>
  </si>
  <si>
    <t>N. van Driel</t>
  </si>
  <si>
    <t>Noor</t>
  </si>
  <si>
    <t>Bloklandpolderstraat 11</t>
  </si>
  <si>
    <t>2807 LH GOUDA</t>
  </si>
  <si>
    <t>noot_1995@msn.com</t>
  </si>
  <si>
    <t>Boetzkes</t>
  </si>
  <si>
    <t>J.A. Boetzkes</t>
  </si>
  <si>
    <t>Bogerdlaan 2</t>
  </si>
  <si>
    <t>1906 XS LIMMEN</t>
  </si>
  <si>
    <t>jantjedederde@gmail.com</t>
  </si>
  <si>
    <t>Rijkeboer</t>
  </si>
  <si>
    <t>J.H. Rijkeboer</t>
  </si>
  <si>
    <t>Jordi</t>
  </si>
  <si>
    <t>Oudeland 39</t>
  </si>
  <si>
    <t>3335 VH ZWIJNDRECHT</t>
  </si>
  <si>
    <t>jordirijkeboer1994@gmail.com</t>
  </si>
  <si>
    <t>Schuckman</t>
  </si>
  <si>
    <t>M. Schuckman</t>
  </si>
  <si>
    <t>Tulastraat 24</t>
  </si>
  <si>
    <t>3573 XG UTRECHT</t>
  </si>
  <si>
    <t>mark@schuckman.net</t>
  </si>
  <si>
    <t>Verboon</t>
  </si>
  <si>
    <t>M.F. Verboon</t>
  </si>
  <si>
    <t>Annie M.G. Schmidtweg 13</t>
  </si>
  <si>
    <t>3446 ZJ WOERDEN</t>
  </si>
  <si>
    <t>mfverboon@gmail.com</t>
  </si>
  <si>
    <t>Verhoog</t>
  </si>
  <si>
    <t>M.H. Verhoog</t>
  </si>
  <si>
    <t>Herdersweg 8</t>
  </si>
  <si>
    <t>1272 AG HUIZEN</t>
  </si>
  <si>
    <t>maxverhoog@hotmail.com</t>
  </si>
  <si>
    <t>Westerhout</t>
  </si>
  <si>
    <t>F.S.B. Westerhout</t>
  </si>
  <si>
    <t>Frederik</t>
  </si>
  <si>
    <t>Tafelbergweg 40</t>
  </si>
  <si>
    <t>1251 AG LAREN NH</t>
  </si>
  <si>
    <t>frederikwesterhout@gmail.com</t>
  </si>
  <si>
    <t>Zeeuw</t>
  </si>
  <si>
    <t>M.J. de Zeeuw</t>
  </si>
  <si>
    <t>Kerkstraat 85</t>
  </si>
  <si>
    <t>2951 GG ALBLASSERDAM</t>
  </si>
  <si>
    <t>dezeeuw_maarten@hotmail.com</t>
  </si>
  <si>
    <t>A.S. Rijnhart</t>
  </si>
  <si>
    <t>Ande</t>
  </si>
  <si>
    <t>Von Liebigweg 10</t>
  </si>
  <si>
    <t>1097 RN AMSTERDAM</t>
  </si>
  <si>
    <t>anderijnhart@hotmail.com</t>
  </si>
  <si>
    <t>Bouwmans</t>
  </si>
  <si>
    <t>K.M. Bouwmans</t>
  </si>
  <si>
    <t>Kas</t>
  </si>
  <si>
    <t>Willem de Zwijgerlaan 7</t>
  </si>
  <si>
    <t>2082 BA SANTPOORT-ZUID</t>
  </si>
  <si>
    <t>kas-bouwmans@live.nl</t>
  </si>
  <si>
    <t>Deken</t>
  </si>
  <si>
    <t>M.T. Deken</t>
  </si>
  <si>
    <t>Mitchel</t>
  </si>
  <si>
    <t>Kooigroet 2</t>
  </si>
  <si>
    <t>1722 KP ZUID-SCHARWOUDE</t>
  </si>
  <si>
    <t>mitcheldeken@live.nl</t>
  </si>
  <si>
    <t>Fierkens</t>
  </si>
  <si>
    <t>K.R.A. Fierkens</t>
  </si>
  <si>
    <t>Kelvin</t>
  </si>
  <si>
    <t>Constantiuslaan 32</t>
  </si>
  <si>
    <t>6642 BS BEUNINGEN GLD</t>
  </si>
  <si>
    <t>kelvin@fierkens.com</t>
  </si>
  <si>
    <t>Gils</t>
  </si>
  <si>
    <t>A.M.C.M. van Gils</t>
  </si>
  <si>
    <t>Oudland 13</t>
  </si>
  <si>
    <t>4617 ME BERGEN OP ZOOM</t>
  </si>
  <si>
    <t>ruben_vangils@hotmail.com</t>
  </si>
  <si>
    <t>Namen</t>
  </si>
  <si>
    <t>R. van Namen</t>
  </si>
  <si>
    <t>Narcisstraat 27</t>
  </si>
  <si>
    <t>3333 GX ZWIJNDRECHT</t>
  </si>
  <si>
    <t>rickvannamen@hotmail.com</t>
  </si>
  <si>
    <t>Sloof</t>
  </si>
  <si>
    <t>R.C. Sloof</t>
  </si>
  <si>
    <t>Renco</t>
  </si>
  <si>
    <t>Cortgene 119</t>
  </si>
  <si>
    <t>2951 EC ALBLASSERDAM</t>
  </si>
  <si>
    <t>rencosloof@gmail.com</t>
  </si>
  <si>
    <t>Verbaas</t>
  </si>
  <si>
    <t>L. Verbaas</t>
  </si>
  <si>
    <t>Huis te Landelaan 19</t>
  </si>
  <si>
    <t>2283 SE RIJSWIJK ZH</t>
  </si>
  <si>
    <t>lucverbaas@gmail.com</t>
  </si>
  <si>
    <t>Verweij</t>
  </si>
  <si>
    <t>P.J. Verweij</t>
  </si>
  <si>
    <t>Riojagaard 44</t>
  </si>
  <si>
    <t>3446 WD WOERDEN</t>
  </si>
  <si>
    <t>peter-verweij@hotmail.com</t>
  </si>
  <si>
    <t>Bouwers</t>
  </si>
  <si>
    <t>D.T. Bouwers</t>
  </si>
  <si>
    <t>Douwe</t>
  </si>
  <si>
    <t>Waldeck-Pyrmontlaan 4</t>
  </si>
  <si>
    <t>3062 BV ROTTERDAM</t>
  </si>
  <si>
    <t>douwe@bouwers.nl</t>
  </si>
  <si>
    <t>Gevers</t>
  </si>
  <si>
    <t>L.L.J. Gevers</t>
  </si>
  <si>
    <t>Besselaar 8</t>
  </si>
  <si>
    <t>5467 JA VEGHEL</t>
  </si>
  <si>
    <t>lars_gevers@hotmail.com</t>
  </si>
  <si>
    <t>B. de Graaf</t>
  </si>
  <si>
    <t>Meerstraat 11</t>
  </si>
  <si>
    <t>1411 BG NAARDEN</t>
  </si>
  <si>
    <t>bartdegraaf.94@gmail.com</t>
  </si>
  <si>
    <t>T. Jonker</t>
  </si>
  <si>
    <t>Valkkooglaan 56</t>
  </si>
  <si>
    <t>1705 AP HEERHUGOWAARD</t>
  </si>
  <si>
    <t>timjonker@live.nl</t>
  </si>
  <si>
    <t>Kramer</t>
  </si>
  <si>
    <t>J.J.A. Kramer</t>
  </si>
  <si>
    <t>v Goghplantsoen 8</t>
  </si>
  <si>
    <t>2954 NL ALBLASSERDAM</t>
  </si>
  <si>
    <t>jelle_kramerjjak@hotmail.com</t>
  </si>
  <si>
    <t>Tulp</t>
  </si>
  <si>
    <t>B. Tulp</t>
  </si>
  <si>
    <t>Aert van Neslaan 70</t>
  </si>
  <si>
    <t>2341 HX OEGSTGEEST</t>
  </si>
  <si>
    <t>asfdbob@gmail.com</t>
  </si>
  <si>
    <t>Wijk</t>
  </si>
  <si>
    <t>S.A.J. van Wijk</t>
  </si>
  <si>
    <t>Sebastiaan</t>
  </si>
  <si>
    <t>Hoofdweg 87</t>
  </si>
  <si>
    <t>6744 WH EDERVEEN</t>
  </si>
  <si>
    <t>sebas-vanwijk@hotmail.com</t>
  </si>
  <si>
    <t>Külling</t>
  </si>
  <si>
    <t>R. Külling</t>
  </si>
  <si>
    <t>Richard</t>
  </si>
  <si>
    <t>rkuelling@hotmail.com</t>
  </si>
  <si>
    <t>Alblas</t>
  </si>
  <si>
    <t>S.D. Alblas</t>
  </si>
  <si>
    <t>Binnenlandse Baan 114</t>
  </si>
  <si>
    <t>2991 CA BARENDRECHT</t>
  </si>
  <si>
    <t>s.d.alblas@outlook.com</t>
  </si>
  <si>
    <t>Balvert</t>
  </si>
  <si>
    <t>S. Balvert</t>
  </si>
  <si>
    <t>Stephan</t>
  </si>
  <si>
    <t>Sweelinckstraat 115</t>
  </si>
  <si>
    <t>2983 XJ RIDDERKERK</t>
  </si>
  <si>
    <t>stephan847@hotmail.com</t>
  </si>
  <si>
    <t>K. van den Berg</t>
  </si>
  <si>
    <t>Steinstraat 19</t>
  </si>
  <si>
    <t>4311 BH BRUINISSE</t>
  </si>
  <si>
    <t>bru6_95@hotmail.com</t>
  </si>
  <si>
    <t>Brink</t>
  </si>
  <si>
    <t>W.I. van den Brink</t>
  </si>
  <si>
    <t>Amsteldijk Noord 104 a</t>
  </si>
  <si>
    <t>1183 TH AMSTELVEEN</t>
  </si>
  <si>
    <t>wouter_i_vandenbrink@hotmail.com</t>
  </si>
  <si>
    <t>Donders</t>
  </si>
  <si>
    <t>W.E.C. Donders</t>
  </si>
  <si>
    <t>Winkelsestraat 15</t>
  </si>
  <si>
    <t>5074 PA BIEZENMORTEL</t>
  </si>
  <si>
    <t>dondersvet@xs4all.nl</t>
  </si>
  <si>
    <t>Jekel</t>
  </si>
  <si>
    <t>E.P. Jekel</t>
  </si>
  <si>
    <t>Eelco</t>
  </si>
  <si>
    <t>Paterswoldseweg 27</t>
  </si>
  <si>
    <t>9726 BB GRONINGEN</t>
  </si>
  <si>
    <t>epjekel@gmail.com</t>
  </si>
  <si>
    <t>Rijpstra</t>
  </si>
  <si>
    <t>W. Rijpstra</t>
  </si>
  <si>
    <t>Wessel</t>
  </si>
  <si>
    <t>Vijfhuisterdijk 14</t>
  </si>
  <si>
    <t>9074 TE HALLUM</t>
  </si>
  <si>
    <t>wesselrypstra@gmail.com</t>
  </si>
  <si>
    <t>Schoorl</t>
  </si>
  <si>
    <t>R.D. Schoorl</t>
  </si>
  <si>
    <t>Spiegelenburghlaan 8</t>
  </si>
  <si>
    <t>2111 BM AERDENHOUT</t>
  </si>
  <si>
    <t>schoorl@wxs.nl</t>
  </si>
  <si>
    <t>Duijvenboden</t>
  </si>
  <si>
    <t>D.A. van Duijvenboden</t>
  </si>
  <si>
    <t>Schoener 18</t>
  </si>
  <si>
    <t>1991 XC VELSERBROEK</t>
  </si>
  <si>
    <t>dylanvd13@gmail.com</t>
  </si>
  <si>
    <t>M.C. de Graaf</t>
  </si>
  <si>
    <t>Marc</t>
  </si>
  <si>
    <t>Zilvermeeuwstraat 1</t>
  </si>
  <si>
    <t>4301 WS ZIERIKZEE</t>
  </si>
  <si>
    <t>marc_7bergen@hotmail.com</t>
  </si>
  <si>
    <t>Henderik</t>
  </si>
  <si>
    <t>L.N. Henderik</t>
  </si>
  <si>
    <t>Tulastraat 52</t>
  </si>
  <si>
    <t>3573 XH UTRECHT</t>
  </si>
  <si>
    <t>l.henderik@kpnmail.nl</t>
  </si>
  <si>
    <t>J.P.M. Kerstens</t>
  </si>
  <si>
    <t>Jerome</t>
  </si>
  <si>
    <t>Spreeuwenburgerweg 18</t>
  </si>
  <si>
    <t>5061 PH OISTERWIJK</t>
  </si>
  <si>
    <t>m.c.j.f.kerstens@rn.rabobank.nl</t>
  </si>
  <si>
    <t>Kok</t>
  </si>
  <si>
    <t>W.R. Kok</t>
  </si>
  <si>
    <t>wouter</t>
  </si>
  <si>
    <t>Kievithof 9</t>
  </si>
  <si>
    <t>1444 VW PURMEREND</t>
  </si>
  <si>
    <t>w.r.kok@upcmail.nl</t>
  </si>
  <si>
    <t>Lander</t>
  </si>
  <si>
    <t>N.P. Lander</t>
  </si>
  <si>
    <t>Harry Mulischstraat 1</t>
  </si>
  <si>
    <t>2251 ZJ VOORSCHOTEN</t>
  </si>
  <si>
    <t>niels.lander@gmail.com</t>
  </si>
  <si>
    <t>Luik</t>
  </si>
  <si>
    <t>P.M.J. Luik</t>
  </si>
  <si>
    <t>Philine</t>
  </si>
  <si>
    <t>Herungerweg 213</t>
  </si>
  <si>
    <t>5913 HA VENLO</t>
  </si>
  <si>
    <t>philine.luik@gmail.com</t>
  </si>
  <si>
    <t>L. Dekker</t>
  </si>
  <si>
    <t>Levi</t>
  </si>
  <si>
    <t>Heelmeesterstraat 75</t>
  </si>
  <si>
    <t>3123 EE SCHIEDAM</t>
  </si>
  <si>
    <t>jj@led.demon.nl</t>
  </si>
  <si>
    <t>Hilverda</t>
  </si>
  <si>
    <t>I.M.W. Hilverda</t>
  </si>
  <si>
    <t>Ingmar</t>
  </si>
  <si>
    <t>Snoeklaan 177</t>
  </si>
  <si>
    <t>2215 XE VOORHOUT</t>
  </si>
  <si>
    <t>ingmarhilverda@gmail.com</t>
  </si>
  <si>
    <t>Horst</t>
  </si>
  <si>
    <t>J.D. ter Horst</t>
  </si>
  <si>
    <t>Daeny</t>
  </si>
  <si>
    <t>Dorpsstraat 21</t>
  </si>
  <si>
    <t>3223 BG HELLEVOETSLUIS</t>
  </si>
  <si>
    <t>daeny_1995@live.nl</t>
  </si>
  <si>
    <t>Nooren</t>
  </si>
  <si>
    <t>J.L. Nooren</t>
  </si>
  <si>
    <t>Jochen</t>
  </si>
  <si>
    <t>Anemoonstraat 9 1</t>
  </si>
  <si>
    <t>1031 GT AMSTERDAM</t>
  </si>
  <si>
    <t>jochennooren@gmail.com</t>
  </si>
  <si>
    <t>Ratering</t>
  </si>
  <si>
    <t>D. Ratering</t>
  </si>
  <si>
    <t>Beckumerstraat 6</t>
  </si>
  <si>
    <t>7548 BG ENSCHEDE</t>
  </si>
  <si>
    <t>daanratering@gmail.com</t>
  </si>
  <si>
    <t>Rooijen</t>
  </si>
  <si>
    <t>D.J. van Rooijen</t>
  </si>
  <si>
    <t>Soestdijkerstraatweg 9</t>
  </si>
  <si>
    <t>1213 VP HILVERSUM</t>
  </si>
  <si>
    <t>vanrooijendennis@gmail.com</t>
  </si>
  <si>
    <t>Vries</t>
  </si>
  <si>
    <t>J. de Vries</t>
  </si>
  <si>
    <t>Eemstraat 14</t>
  </si>
  <si>
    <t>2025 RE HAARLEM</t>
  </si>
  <si>
    <t>jelle.devries@hetnet.nl</t>
  </si>
  <si>
    <t>Star</t>
  </si>
  <si>
    <t>A.G. van der Star</t>
  </si>
  <si>
    <t>Kameraarslag 35</t>
  </si>
  <si>
    <t>2805 DN GOUDA</t>
  </si>
  <si>
    <t>hoi_anne@live.nl</t>
  </si>
  <si>
    <t>Aa</t>
  </si>
  <si>
    <t>A.M. van der Aa</t>
  </si>
  <si>
    <t>Arne</t>
  </si>
  <si>
    <t>Joost de Hondtlaan 9</t>
  </si>
  <si>
    <t>2803 XH GOUDA</t>
  </si>
  <si>
    <t>arne94@live.nl</t>
  </si>
  <si>
    <t>Fijen</t>
  </si>
  <si>
    <t>L.J.J. Fijen</t>
  </si>
  <si>
    <t>Spoorstraat 6</t>
  </si>
  <si>
    <t>3743 EG BAARN</t>
  </si>
  <si>
    <t>lucas.fijen@gmail.com</t>
  </si>
  <si>
    <t>Langeveld</t>
  </si>
  <si>
    <t>J. Langeveld</t>
  </si>
  <si>
    <t>Jilles</t>
  </si>
  <si>
    <t>Kwikstaartlaan 20</t>
  </si>
  <si>
    <t>2566 TS 'S-GRAVENHAGE</t>
  </si>
  <si>
    <t>jilleslangeveld@gmail.com</t>
  </si>
  <si>
    <t>Lipman</t>
  </si>
  <si>
    <t>L.R. Lipman</t>
  </si>
  <si>
    <t>Maris 37</t>
  </si>
  <si>
    <t>2681 MP MONSTER</t>
  </si>
  <si>
    <t>lrlipman@hotmail.com</t>
  </si>
  <si>
    <t>Veen</t>
  </si>
  <si>
    <t>G.A. van der Veen</t>
  </si>
  <si>
    <t>Gerard</t>
  </si>
  <si>
    <t>De Genestetlaan 18</t>
  </si>
  <si>
    <t>1985 GH DRIEHUIS NH</t>
  </si>
  <si>
    <t>gerardpost@live.nl</t>
  </si>
  <si>
    <t>Welle</t>
  </si>
  <si>
    <t>K. van der Welle</t>
  </si>
  <si>
    <t>Kevin van der W</t>
  </si>
  <si>
    <t>Jan van Goyenstraat 21</t>
  </si>
  <si>
    <t>2923 AD KRIMPEN AAN DEN IJSSEL</t>
  </si>
  <si>
    <t>kvdwelle0180@hotmail.com</t>
  </si>
  <si>
    <t>Winkel</t>
  </si>
  <si>
    <t>B.C. de Winkel</t>
  </si>
  <si>
    <t>Mahlerstraat 13</t>
  </si>
  <si>
    <t>2901 GE CAPELLE AAN DEN IJSSEL</t>
  </si>
  <si>
    <t>basdew@live.nl</t>
  </si>
  <si>
    <t>Wolbert</t>
  </si>
  <si>
    <t>G.L.A. Wolbert</t>
  </si>
  <si>
    <t>Rozenstraat 16</t>
  </si>
  <si>
    <t>7255 XT HENGELO GLD</t>
  </si>
  <si>
    <t>gijs.wolbert@gmail.com</t>
  </si>
  <si>
    <t>Eeden</t>
  </si>
  <si>
    <t>B. van Eeden</t>
  </si>
  <si>
    <t>Diamantsingel 32</t>
  </si>
  <si>
    <t>4533 AV TERNEUZEN</t>
  </si>
  <si>
    <t>bartvaneeden@zeelandnet.nl</t>
  </si>
  <si>
    <t>Groenendijk</t>
  </si>
  <si>
    <t>J. Groenendijk</t>
  </si>
  <si>
    <t>Groeneweg 36</t>
  </si>
  <si>
    <t>2801 ZD GOUDA</t>
  </si>
  <si>
    <t>jespergroenendijk@hotmail.com</t>
  </si>
  <si>
    <t>Gürses</t>
  </si>
  <si>
    <t>S.S. Gürses</t>
  </si>
  <si>
    <t>Sergin</t>
  </si>
  <si>
    <t>Grijpskerkstraat 10</t>
  </si>
  <si>
    <t>6835 DH ARNHEM</t>
  </si>
  <si>
    <t>serginsalim@hotmail.com</t>
  </si>
  <si>
    <t>Oudshoorn</t>
  </si>
  <si>
    <t>M.P.J. Oudshoorn</t>
  </si>
  <si>
    <t>Noordeindseweg 434</t>
  </si>
  <si>
    <t>2651 LP BERKEL EN RODENRIJS</t>
  </si>
  <si>
    <t>max-oudshoorn@hotmail.com</t>
  </si>
  <si>
    <t>Slot</t>
  </si>
  <si>
    <t>R.S. Slot</t>
  </si>
  <si>
    <t>Ruud</t>
  </si>
  <si>
    <t>Minister Loudonlaan 41</t>
  </si>
  <si>
    <t>7521 BA ENSCHEDE</t>
  </si>
  <si>
    <t>r.slot@yahoo.nl</t>
  </si>
  <si>
    <t>M. Visser</t>
  </si>
  <si>
    <t>Borneostraat 113</t>
  </si>
  <si>
    <t>3131 JC VLAARDINGEN</t>
  </si>
  <si>
    <t>tijnvisser1@hotmail.com</t>
  </si>
  <si>
    <t>Batchelor</t>
  </si>
  <si>
    <t>A. Batchelor</t>
  </si>
  <si>
    <t>alks_alks@hotmail.com</t>
  </si>
  <si>
    <t>Faas</t>
  </si>
  <si>
    <t>B.P.H. Faas</t>
  </si>
  <si>
    <t>Schilp acker 2</t>
  </si>
  <si>
    <t>1965 SG HEEMSKERK</t>
  </si>
  <si>
    <t>bart.faas@hotmail.com</t>
  </si>
  <si>
    <t>Koelewijn</t>
  </si>
  <si>
    <t>K.J.R. Koelewijn</t>
  </si>
  <si>
    <t>Karsten</t>
  </si>
  <si>
    <t>Panamakade 210</t>
  </si>
  <si>
    <t>1019 TT AMSTERDAM</t>
  </si>
  <si>
    <t>karsten.koelewijn@hotmail.nl</t>
  </si>
  <si>
    <t>Mikael Luke Radheya Prananta</t>
  </si>
  <si>
    <t>. Mikael Luke Radheya Prananta</t>
  </si>
  <si>
    <t>Luke</t>
  </si>
  <si>
    <t>Burgemeestersrand 184</t>
  </si>
  <si>
    <t>2625 NZ DELFT</t>
  </si>
  <si>
    <t>lukeprananta@hotmail.com</t>
  </si>
  <si>
    <t>B.J.M. de Ruiter</t>
  </si>
  <si>
    <t>Kwekerijstraat 6</t>
  </si>
  <si>
    <t>2613 VE DELFT</t>
  </si>
  <si>
    <t>aanbramderuiter@gmail.com</t>
  </si>
  <si>
    <t>Stokbroeckx</t>
  </si>
  <si>
    <t>T. Stokbroeckx</t>
  </si>
  <si>
    <t>Pieter de Hooghstraat 22</t>
  </si>
  <si>
    <t>2612 VE DELFT</t>
  </si>
  <si>
    <t>tim.sto95@gmail.com</t>
  </si>
  <si>
    <t>Thijssen</t>
  </si>
  <si>
    <t>M. Thijssen</t>
  </si>
  <si>
    <t>Maurice</t>
  </si>
  <si>
    <t>2641 AH PIJNACKER</t>
  </si>
  <si>
    <t>maurice@thijssen.me</t>
  </si>
  <si>
    <t>Til</t>
  </si>
  <si>
    <t>J. van Til</t>
  </si>
  <si>
    <t>Justin</t>
  </si>
  <si>
    <t>Nieuwendammerdijk 149</t>
  </si>
  <si>
    <t>1025 LG AMSTERDAM</t>
  </si>
  <si>
    <t>justinvantil@gmail.com</t>
  </si>
  <si>
    <t>Chu</t>
  </si>
  <si>
    <t>C.X. Chu</t>
  </si>
  <si>
    <t>Christine</t>
  </si>
  <si>
    <t>Chinese</t>
  </si>
  <si>
    <t>Bospeenhof 3</t>
  </si>
  <si>
    <t>3331 RA ZWIJNDRECHT</t>
  </si>
  <si>
    <t>christinexchu@hotmail.com</t>
  </si>
  <si>
    <t>Brunt</t>
  </si>
  <si>
    <t>A. Brunt</t>
  </si>
  <si>
    <t>Alex</t>
  </si>
  <si>
    <t>Emmastraat 114</t>
  </si>
  <si>
    <t>3181 GC ROZENBURG ZH</t>
  </si>
  <si>
    <t>alex.b95@live.nl</t>
  </si>
  <si>
    <t>Bruschinski</t>
  </si>
  <si>
    <t>T.L. Bruschinski</t>
  </si>
  <si>
    <t>Burgemeestersrand 170</t>
  </si>
  <si>
    <t>tbruschinski@hotmail.com</t>
  </si>
  <si>
    <t>Klerk</t>
  </si>
  <si>
    <t>S.J. de Klerk</t>
  </si>
  <si>
    <t>Vecht 64</t>
  </si>
  <si>
    <t>2911 EP NIEUWERKERK AD IJSSEL</t>
  </si>
  <si>
    <t>sebastiaandeklerk_@hotmail.com</t>
  </si>
  <si>
    <t>Schootstra</t>
  </si>
  <si>
    <t>J. Schootstra</t>
  </si>
  <si>
    <t>Slinge 44</t>
  </si>
  <si>
    <t>9204 KM DRACHTEN</t>
  </si>
  <si>
    <t>joostschootstra@hotmail.com</t>
  </si>
  <si>
    <t>Sprong</t>
  </si>
  <si>
    <t>J.P. Sprong</t>
  </si>
  <si>
    <t>Jorben</t>
  </si>
  <si>
    <t>Mantelmeeuwstraat 19</t>
  </si>
  <si>
    <t>4301 WT ZIERIKZEE</t>
  </si>
  <si>
    <t>jorben.sprong@zeelandnet.nl</t>
  </si>
  <si>
    <t>Todorovic</t>
  </si>
  <si>
    <t>U. Todorovic</t>
  </si>
  <si>
    <t>Uggi</t>
  </si>
  <si>
    <t>Dilledonk-Noord 25</t>
  </si>
  <si>
    <t>3206 BW SPIJKENISSE</t>
  </si>
  <si>
    <t>uggi7@hotmail.com</t>
  </si>
  <si>
    <t>Wijlens</t>
  </si>
  <si>
    <t>J. Wijlens</t>
  </si>
  <si>
    <t>Watermolenplantsoen 12</t>
  </si>
  <si>
    <t>2036 MC HAARLEM</t>
  </si>
  <si>
    <t>jordiwijlens@gmail.com</t>
  </si>
  <si>
    <t>Verschelling</t>
  </si>
  <si>
    <t>J.Verschelling</t>
  </si>
  <si>
    <t>Judith</t>
  </si>
  <si>
    <t>Jpverschelling@gmail.com</t>
  </si>
  <si>
    <t>Helmich</t>
  </si>
  <si>
    <t>M.A.W. Helmich</t>
  </si>
  <si>
    <t>Bakenessergracht 70</t>
  </si>
  <si>
    <t>2011 JX HAARLEM</t>
  </si>
  <si>
    <t>maxhelmich@hotmail.com</t>
  </si>
  <si>
    <t>Mol</t>
  </si>
  <si>
    <t>T.M.M. Mol</t>
  </si>
  <si>
    <t>Timo Mol</t>
  </si>
  <si>
    <t>Wolter Heukelslaan 46</t>
  </si>
  <si>
    <t>3581 ST UTRECHT</t>
  </si>
  <si>
    <t>t.m.m.mol@xs4all.nl</t>
  </si>
  <si>
    <t>Nejal</t>
  </si>
  <si>
    <t>R.K. Nejal</t>
  </si>
  <si>
    <t>Ravin</t>
  </si>
  <si>
    <t>Madelieflaan 7</t>
  </si>
  <si>
    <t>4741 EZ HOEVEN</t>
  </si>
  <si>
    <t>krishan_ravin@hotmail.com</t>
  </si>
  <si>
    <t>Spagnol</t>
  </si>
  <si>
    <t>C.D. Spagnol</t>
  </si>
  <si>
    <t>Carlos</t>
  </si>
  <si>
    <t>Korvezeestraat 501</t>
  </si>
  <si>
    <t>2628 DZ DELFT</t>
  </si>
  <si>
    <t>spagnolcarlos@me.com</t>
  </si>
  <si>
    <t>Sulyman</t>
  </si>
  <si>
    <t>P.D. Sulyman</t>
  </si>
  <si>
    <t>Peywand</t>
  </si>
  <si>
    <t>Rozensteinstraat 81</t>
  </si>
  <si>
    <t>2242 VS WASSENAAR</t>
  </si>
  <si>
    <t>pijwand_1994@live.nl</t>
  </si>
  <si>
    <t>Vader</t>
  </si>
  <si>
    <t>H.S. Vader</t>
  </si>
  <si>
    <t>Remmerdel 44</t>
  </si>
  <si>
    <t>1749 JN WARMENHUIZEN</t>
  </si>
  <si>
    <t>hugovader@quicknet.nl</t>
  </si>
  <si>
    <t>R.B. Verbruggen</t>
  </si>
  <si>
    <t>Roderik</t>
  </si>
  <si>
    <t>Ennertsweg 42</t>
  </si>
  <si>
    <t>58675 Hemer</t>
  </si>
  <si>
    <t>Bondsrepubliek Duitsland</t>
  </si>
  <si>
    <t>r.verbruggen@gmx.de</t>
  </si>
  <si>
    <t>Verburg</t>
  </si>
  <si>
    <t>L. Verburg</t>
  </si>
  <si>
    <t>Fazantenkamp 740</t>
  </si>
  <si>
    <t>3607 DS MAARSSEN</t>
  </si>
  <si>
    <t>lars_verburg27@hotmail.com</t>
  </si>
  <si>
    <t>Boer</t>
  </si>
  <si>
    <t>E.M. de Boer</t>
  </si>
  <si>
    <t>Emiel</t>
  </si>
  <si>
    <t>Wilhelminaweg 9</t>
  </si>
  <si>
    <t>3603 CR MAARSSEN</t>
  </si>
  <si>
    <t>emiel@dbde.nl</t>
  </si>
  <si>
    <t>Borst</t>
  </si>
  <si>
    <t>L. Borst</t>
  </si>
  <si>
    <t>Geesterland 48</t>
  </si>
  <si>
    <t>1645 RS URSEM</t>
  </si>
  <si>
    <t>lukeborst@outlook.com</t>
  </si>
  <si>
    <t>Duijvendijk</t>
  </si>
  <si>
    <t>M.G. van Duijvendijk</t>
  </si>
  <si>
    <t>Mart</t>
  </si>
  <si>
    <t>Lorentzkade 23</t>
  </si>
  <si>
    <t>2313 GC LEIDEN</t>
  </si>
  <si>
    <t>mart.gvd@tiscali.nl</t>
  </si>
  <si>
    <t>Meuwissen</t>
  </si>
  <si>
    <t>M.T. Meuwissen</t>
  </si>
  <si>
    <t>Winkeldijk 37</t>
  </si>
  <si>
    <t>1391 HM ABCOUDE</t>
  </si>
  <si>
    <t>mathijsmeuwissen@hotmail.com</t>
  </si>
  <si>
    <t>Neijzen</t>
  </si>
  <si>
    <t>D.G. Neijzen</t>
  </si>
  <si>
    <t>Klein Vrijenban 1</t>
  </si>
  <si>
    <t>2611 XP DELFT</t>
  </si>
  <si>
    <t>danielneijzen@hotmail.com</t>
  </si>
  <si>
    <t>Perik</t>
  </si>
  <si>
    <t>R.G.M. Perik</t>
  </si>
  <si>
    <t>Reinout</t>
  </si>
  <si>
    <t>Bontiuslaan 1 B</t>
  </si>
  <si>
    <t>2242 PW WASSENAAR</t>
  </si>
  <si>
    <t>reinoutperik@live.nl</t>
  </si>
  <si>
    <t>Tedjawirja</t>
  </si>
  <si>
    <t>V.T. Tedjawirja</t>
  </si>
  <si>
    <t>Vincent</t>
  </si>
  <si>
    <t>Dotterbloem 15</t>
  </si>
  <si>
    <t>1991 KA VELSERBROEK</t>
  </si>
  <si>
    <t>vincent_t_t@live.nl</t>
  </si>
  <si>
    <t>Theuws</t>
  </si>
  <si>
    <t>P. Theuws</t>
  </si>
  <si>
    <t>Paul</t>
  </si>
  <si>
    <t>Hofmeierstraat 10</t>
  </si>
  <si>
    <t>5663 CK GELDROP</t>
  </si>
  <si>
    <t>paul_theuws@hotmail.com</t>
  </si>
  <si>
    <t>Backhausen</t>
  </si>
  <si>
    <t>J.M.A. Backhausen</t>
  </si>
  <si>
    <t>Jens</t>
  </si>
  <si>
    <t>Bosrank 7</t>
  </si>
  <si>
    <t>6271 EG GULPEN</t>
  </si>
  <si>
    <t>jensbackhausen@hotmail.com</t>
  </si>
  <si>
    <t>Berlage</t>
  </si>
  <si>
    <t>B.J. Berlage</t>
  </si>
  <si>
    <t>Joas</t>
  </si>
  <si>
    <t>Barnsteenstraat 44</t>
  </si>
  <si>
    <t>2403 BZ ALPHEN AAN DEN RIJN</t>
  </si>
  <si>
    <t>joasb92@me.com</t>
  </si>
  <si>
    <t>Dinkla</t>
  </si>
  <si>
    <t>R.T.O. Dinkla</t>
  </si>
  <si>
    <t>North Deeside Road Edgehill H</t>
  </si>
  <si>
    <t>AB13 0DH Milltimber</t>
  </si>
  <si>
    <t>Groot-Brittannië</t>
  </si>
  <si>
    <t>corcarla.dinkla@btinternet.com</t>
  </si>
  <si>
    <t>Gijsbers</t>
  </si>
  <si>
    <t>B.J.A. Gijsbers</t>
  </si>
  <si>
    <t>Laan van Arenstein 22</t>
  </si>
  <si>
    <t>2341 LT OEGSTGEEST</t>
  </si>
  <si>
    <t>bartgijsbers94@gmail.com</t>
  </si>
  <si>
    <t>Kodde</t>
  </si>
  <si>
    <t>J.J. Kodde</t>
  </si>
  <si>
    <t>Andante 39</t>
  </si>
  <si>
    <t>2925 AA KRIMPEN AAN DEN IJSSEL</t>
  </si>
  <si>
    <t>johan95@live.nl</t>
  </si>
  <si>
    <t>Offereins</t>
  </si>
  <si>
    <t>V.Q. Offereins</t>
  </si>
  <si>
    <t>Warenarburg 40</t>
  </si>
  <si>
    <t>2907 CL CAPELLE AAN DEN IJSSEL</t>
  </si>
  <si>
    <t>vqoffereins@hotmail.com</t>
  </si>
  <si>
    <t>Snoek</t>
  </si>
  <si>
    <t>J.J. Snoek</t>
  </si>
  <si>
    <t>Leeuweriklaan 49</t>
  </si>
  <si>
    <t>1971 JX IJMUIDEN</t>
  </si>
  <si>
    <t>jobjoost@hotmail.com</t>
  </si>
  <si>
    <t>Wieringen</t>
  </si>
  <si>
    <t>F.M. van Wieringen</t>
  </si>
  <si>
    <t>Slingerweg 9</t>
  </si>
  <si>
    <t>2111 AH AERDENHOUT</t>
  </si>
  <si>
    <t>florisvanwieringen@hotmail.com</t>
  </si>
  <si>
    <t>M.M.A. Blom</t>
  </si>
  <si>
    <t>Matthias</t>
  </si>
  <si>
    <t>Akkerweg 1 B</t>
  </si>
  <si>
    <t>2751 CH MOERKAPELLE</t>
  </si>
  <si>
    <t>matthias.blom@hotmail.com</t>
  </si>
  <si>
    <t>Goffau</t>
  </si>
  <si>
    <t>J. de Goffau</t>
  </si>
  <si>
    <t>Hans</t>
  </si>
  <si>
    <t>Heulenslag 73</t>
  </si>
  <si>
    <t>2971 VH BLESKENSGRAAF CA</t>
  </si>
  <si>
    <t>hansdegoffau@solcon.nl</t>
  </si>
  <si>
    <t>Heemskerk</t>
  </si>
  <si>
    <t>R.S. Heemskerk</t>
  </si>
  <si>
    <t>Merelhof 2</t>
  </si>
  <si>
    <t>2172 HZ SASSENHEIM</t>
  </si>
  <si>
    <t>cenpheem@wxs.nl</t>
  </si>
  <si>
    <t>Heetman</t>
  </si>
  <si>
    <t>J.J. Heetman</t>
  </si>
  <si>
    <t>Steeg 4</t>
  </si>
  <si>
    <t>9331 AT NORG</t>
  </si>
  <si>
    <t>jelleheetman@hotmail.com</t>
  </si>
  <si>
    <t>Hondius</t>
  </si>
  <si>
    <t>M.M. Hondius</t>
  </si>
  <si>
    <t>Schellingwouderdijk 231</t>
  </si>
  <si>
    <t>1023 NG AMSTERDAM</t>
  </si>
  <si>
    <t>menno.hondius@xs4all.nl</t>
  </si>
  <si>
    <t>Jongkees</t>
  </si>
  <si>
    <t>E.P. Jongkees</t>
  </si>
  <si>
    <t>Eduard</t>
  </si>
  <si>
    <t>Westlandseweg 57</t>
  </si>
  <si>
    <t>2624 AC DELFT</t>
  </si>
  <si>
    <t>ejongkees@gmail.com</t>
  </si>
  <si>
    <t>Hoed</t>
  </si>
  <si>
    <t>A. van den Hoed</t>
  </si>
  <si>
    <t>Annemarie</t>
  </si>
  <si>
    <t>Johannes Bosboomlaan 16</t>
  </si>
  <si>
    <t>2102 AK HEEMSTEDE</t>
  </si>
  <si>
    <t>anne_hoed@hotmail.com</t>
  </si>
  <si>
    <t>Verlinde</t>
  </si>
  <si>
    <t>S.C. Verlinde</t>
  </si>
  <si>
    <t>Sandra</t>
  </si>
  <si>
    <t>Burg Van der Heidelaan 50</t>
  </si>
  <si>
    <t>3451 ZV VLEUTEN</t>
  </si>
  <si>
    <t>sandraverlinde@hotmail.com</t>
  </si>
  <si>
    <t>Bui Duc</t>
  </si>
  <si>
    <t>T.T. Bui Duc</t>
  </si>
  <si>
    <t>Franco</t>
  </si>
  <si>
    <t>Egbert van 't Oeverstr 8</t>
  </si>
  <si>
    <t>2162 LW LISSE</t>
  </si>
  <si>
    <t>franco_buiduc@hotmail.com</t>
  </si>
  <si>
    <t>Cinek</t>
  </si>
  <si>
    <t>Y. Cinek</t>
  </si>
  <si>
    <t>Yavuz</t>
  </si>
  <si>
    <t>Lutulistraat 7</t>
  </si>
  <si>
    <t>2332 EB LEIDEN</t>
  </si>
  <si>
    <t>yavuzcinek@outlook.com</t>
  </si>
  <si>
    <t>Jorna</t>
  </si>
  <si>
    <t>M.M. Jorna</t>
  </si>
  <si>
    <t>Emmastraat 78</t>
  </si>
  <si>
    <t>7941 HS MEPPEL</t>
  </si>
  <si>
    <t>mennojorna@gmail.com</t>
  </si>
  <si>
    <t>H. van de Kamp</t>
  </si>
  <si>
    <t>Wilhelm</t>
  </si>
  <si>
    <t>Duinkerkerweg 3</t>
  </si>
  <si>
    <t>8097 RX OOSTERWOLDE GLD</t>
  </si>
  <si>
    <t>wilhelm94@live.nl</t>
  </si>
  <si>
    <t>Nederkoorn</t>
  </si>
  <si>
    <t>A.W.S. Nederkoorn</t>
  </si>
  <si>
    <t>Houtweg 19</t>
  </si>
  <si>
    <t>8167 PJ OENE</t>
  </si>
  <si>
    <t>basnederkoorn@hotmail.com</t>
  </si>
  <si>
    <t>Sawyer</t>
  </si>
  <si>
    <t>S.E. Sawyer</t>
  </si>
  <si>
    <t>Dufaystraat 8</t>
  </si>
  <si>
    <t>1075 GT AMSTERDAM</t>
  </si>
  <si>
    <t>samsawyer@hotmail.com</t>
  </si>
  <si>
    <t>Gallagher</t>
  </si>
  <si>
    <t>F.T. Gallagher</t>
  </si>
  <si>
    <t>Frank</t>
  </si>
  <si>
    <t>Zomerlaan 4</t>
  </si>
  <si>
    <t>2103 AJ HEEMSTEDE</t>
  </si>
  <si>
    <t>frankie.gallagher@hotmail.com</t>
  </si>
  <si>
    <t>Kroft</t>
  </si>
  <si>
    <t>D.F.A. van der Kroft</t>
  </si>
  <si>
    <t>Sweelincklaan 21</t>
  </si>
  <si>
    <t>3055 WT ROTTERDAM</t>
  </si>
  <si>
    <t>douwevdkroft@hotmail.com</t>
  </si>
  <si>
    <t>Linnarz</t>
  </si>
  <si>
    <t>M.V.M. Linnarz</t>
  </si>
  <si>
    <t>Tijn</t>
  </si>
  <si>
    <t>Behandeld Als Nederlander</t>
  </si>
  <si>
    <t>Konstantinstrasse  105</t>
  </si>
  <si>
    <t>53179 Bonn</t>
  </si>
  <si>
    <t>martijn.linnarz@hotmail.com</t>
  </si>
  <si>
    <t>Rie</t>
  </si>
  <si>
    <t>V.A. van Rie</t>
  </si>
  <si>
    <t>Kampakker 4</t>
  </si>
  <si>
    <t>4813 PL BREDA</t>
  </si>
  <si>
    <t>evanrie@live.nl</t>
  </si>
  <si>
    <t>Schimmel</t>
  </si>
  <si>
    <t>J.G. Schimmel</t>
  </si>
  <si>
    <t>Janne</t>
  </si>
  <si>
    <t>Julianalaan 7</t>
  </si>
  <si>
    <t>6824 KG ARNHEM</t>
  </si>
  <si>
    <t>janneschimmel@hotmail.com</t>
  </si>
  <si>
    <t>Slingerland</t>
  </si>
  <si>
    <t>R.A. Slingerland</t>
  </si>
  <si>
    <t>Regenboog 96</t>
  </si>
  <si>
    <t>3162 XA RHOON</t>
  </si>
  <si>
    <t>rubenslngrlnd@gmail.com</t>
  </si>
  <si>
    <t>Q.W.A. van der Slot</t>
  </si>
  <si>
    <t>Kuno</t>
  </si>
  <si>
    <t>'s-Gravendamseweg 61 a</t>
  </si>
  <si>
    <t>2211 WH NOORDWIJKERHOUT</t>
  </si>
  <si>
    <t>kunovdslot@hotmail.com</t>
  </si>
  <si>
    <t>Bashir</t>
  </si>
  <si>
    <t>H.Q. Bashir</t>
  </si>
  <si>
    <t>Haroen</t>
  </si>
  <si>
    <t>Oostzeedijk Beneden 233 D</t>
  </si>
  <si>
    <t>3061 VW ROTTERDAM</t>
  </si>
  <si>
    <t>hqbashir@gmail.com</t>
  </si>
  <si>
    <t>Doori</t>
  </si>
  <si>
    <t>I. El Doori</t>
  </si>
  <si>
    <t>Isa</t>
  </si>
  <si>
    <t>Rembrandtlaan 98</t>
  </si>
  <si>
    <t>3117 VR SCHIEDAM</t>
  </si>
  <si>
    <t>eldoori.isa@gmail.com</t>
  </si>
  <si>
    <t>Have</t>
  </si>
  <si>
    <t>G. ten Have</t>
  </si>
  <si>
    <t>Geert</t>
  </si>
  <si>
    <t>Esstraat 27</t>
  </si>
  <si>
    <t>7131 CT LICHTENVOORDE</t>
  </si>
  <si>
    <t>geert_have@hotmail.com</t>
  </si>
  <si>
    <t>Olde</t>
  </si>
  <si>
    <t>S.A. Olde</t>
  </si>
  <si>
    <t>Willemstraat 253 a</t>
  </si>
  <si>
    <t>2983 ET RIDDERKERK</t>
  </si>
  <si>
    <t>stephan-olde@hotmail.com</t>
  </si>
  <si>
    <t>Spel</t>
  </si>
  <si>
    <t>D. Spel</t>
  </si>
  <si>
    <t>Turpijnpad 2</t>
  </si>
  <si>
    <t>3077 NR ROTTERDAM</t>
  </si>
  <si>
    <t>dylan.spel95@gmail.com</t>
  </si>
  <si>
    <t>Tamtürk</t>
  </si>
  <si>
    <t>I. Tamtürk</t>
  </si>
  <si>
    <t>Ilkay</t>
  </si>
  <si>
    <t>Meranti 247</t>
  </si>
  <si>
    <t>3315 TW DORDRECHT</t>
  </si>
  <si>
    <t>ilkay.50@live.nl</t>
  </si>
  <si>
    <t>Tijdgat</t>
  </si>
  <si>
    <t>J. Tijdgat</t>
  </si>
  <si>
    <t>Jim</t>
  </si>
  <si>
    <t>Waterwerk 27</t>
  </si>
  <si>
    <t>3063 HB ROTTERDAM</t>
  </si>
  <si>
    <t>jtijdgat@hotmail.com</t>
  </si>
  <si>
    <t>Zoon</t>
  </si>
  <si>
    <t>M.A. Zoon</t>
  </si>
  <si>
    <t>Palissander 442</t>
  </si>
  <si>
    <t>3315 MZ DORDRECHT</t>
  </si>
  <si>
    <t>marc@famzoon.nl</t>
  </si>
  <si>
    <t>Haak</t>
  </si>
  <si>
    <t>D. Haak</t>
  </si>
  <si>
    <t>Wildhage 8</t>
  </si>
  <si>
    <t>4847 CR TETERINGEN</t>
  </si>
  <si>
    <t>daanhaak@hotmail.com</t>
  </si>
  <si>
    <t>Kuile</t>
  </si>
  <si>
    <t>S.P. ter Kuile</t>
  </si>
  <si>
    <t>Bachlaan 34</t>
  </si>
  <si>
    <t>1217 BX HILVERSUM</t>
  </si>
  <si>
    <t>stijntk@gmail.com</t>
  </si>
  <si>
    <t>Panhuyzen</t>
  </si>
  <si>
    <t>R.J. Panhuyzen</t>
  </si>
  <si>
    <t>Kapellenberglaan 51</t>
  </si>
  <si>
    <t>6891 AC ROZENDAAL</t>
  </si>
  <si>
    <t>rogierpanhuyzen.au@gmail.com</t>
  </si>
  <si>
    <t>Stinenbosch</t>
  </si>
  <si>
    <t>D.T.B. Stinenbosch</t>
  </si>
  <si>
    <t>Tobias</t>
  </si>
  <si>
    <t>Krommenhoekseweg 1</t>
  </si>
  <si>
    <t>4365 NJ MELISKERKE</t>
  </si>
  <si>
    <t>t.stinen@gmail.com</t>
  </si>
  <si>
    <t>Wolfhagen</t>
  </si>
  <si>
    <t>J.C. Wolfhagen</t>
  </si>
  <si>
    <t>Javalaan 9</t>
  </si>
  <si>
    <t>1217 HD HILVERSUM</t>
  </si>
  <si>
    <t>jasperwolfhagen@gmail.com</t>
  </si>
  <si>
    <t>Groot</t>
  </si>
  <si>
    <t>Heijnen</t>
  </si>
  <si>
    <t>S. Heijnen</t>
  </si>
  <si>
    <t>Sabine</t>
  </si>
  <si>
    <t>Herelsestraat 121</t>
  </si>
  <si>
    <t>4726 AD HEERLE</t>
  </si>
  <si>
    <t>sabine_heijnen@hotmail.com</t>
  </si>
  <si>
    <t>Berkhout</t>
  </si>
  <si>
    <t>I. Berkhout</t>
  </si>
  <si>
    <t>Ian</t>
  </si>
  <si>
    <t>Sicilieboulevard 218</t>
  </si>
  <si>
    <t>3059 XT ROTTERDAM</t>
  </si>
  <si>
    <t>ian.berkhout@gmail.com</t>
  </si>
  <si>
    <t>Erkelens</t>
  </si>
  <si>
    <t>F.P. Erkelens</t>
  </si>
  <si>
    <t>Folkert</t>
  </si>
  <si>
    <t>West Horrington 1</t>
  </si>
  <si>
    <t>BA5 3ED Wells</t>
  </si>
  <si>
    <t>folkert@erkelens.co.uk</t>
  </si>
  <si>
    <t>J.P.R. Heemskerk</t>
  </si>
  <si>
    <t>Jonathan</t>
  </si>
  <si>
    <t>Karekietlaan 6</t>
  </si>
  <si>
    <t>2261 CK LEIDSCHENDAM</t>
  </si>
  <si>
    <t>jonyheemskerk@gmail.com</t>
  </si>
  <si>
    <t>Klein Mentink</t>
  </si>
  <si>
    <t>J. Klein Mentink</t>
  </si>
  <si>
    <t>Papyruslaan 18</t>
  </si>
  <si>
    <t>6866 CB HEELSUM</t>
  </si>
  <si>
    <t>jasperkm@live.nl</t>
  </si>
  <si>
    <t>Kooistra</t>
  </si>
  <si>
    <t>H. Kooistra</t>
  </si>
  <si>
    <t>Hylke</t>
  </si>
  <si>
    <t>Buorren 8</t>
  </si>
  <si>
    <t>9216 WD OUDEGA GEM SMALLINGERLND</t>
  </si>
  <si>
    <t>hylkekooistra@gmail.com</t>
  </si>
  <si>
    <t>Penning</t>
  </si>
  <si>
    <t>C.L. Penning</t>
  </si>
  <si>
    <t>Bereklauw 87</t>
  </si>
  <si>
    <t>1141 KL MONNICKENDAM</t>
  </si>
  <si>
    <t>casperpenning@msn.com</t>
  </si>
  <si>
    <t>Zwolsman</t>
  </si>
  <si>
    <t>E.J. Zwolsman</t>
  </si>
  <si>
    <t>Erwin</t>
  </si>
  <si>
    <t>Zwanebloem 4</t>
  </si>
  <si>
    <t>3984 CK ODIJK</t>
  </si>
  <si>
    <t>erwin.zwolsman@gmail.com</t>
  </si>
  <si>
    <t>Braam</t>
  </si>
  <si>
    <t>E.C. Braam</t>
  </si>
  <si>
    <t>Lili</t>
  </si>
  <si>
    <t>Alligatorstraat 13</t>
  </si>
  <si>
    <t>6532 AR NIJMEGEN</t>
  </si>
  <si>
    <t>lilibraam@hotmail.com</t>
  </si>
  <si>
    <t>Alkemade</t>
  </si>
  <si>
    <t>J.P.E. Alkemade</t>
  </si>
  <si>
    <t>Beeklaan 284</t>
  </si>
  <si>
    <t>2201 BP NOORDWIJK ZH</t>
  </si>
  <si>
    <t>joost_alkie@hotmail.com</t>
  </si>
  <si>
    <t>Bles</t>
  </si>
  <si>
    <t>J.P. de Bles</t>
  </si>
  <si>
    <t>Pater Schiphorststraat 20 Daalmeer</t>
  </si>
  <si>
    <t>1827 NN ALKMAAR</t>
  </si>
  <si>
    <t>jasper.de.bles@planet.nl</t>
  </si>
  <si>
    <t>Drift</t>
  </si>
  <si>
    <t>L.J.H. van der Drift</t>
  </si>
  <si>
    <t>Keenenburgweg 8</t>
  </si>
  <si>
    <t>2636 GM SCHIPLUIDEN</t>
  </si>
  <si>
    <t>luuk_drift@hotmail.com</t>
  </si>
  <si>
    <t>Gool</t>
  </si>
  <si>
    <t>K.J.F.C. van Gool</t>
  </si>
  <si>
    <t>Overakkerstraat 256</t>
  </si>
  <si>
    <t>4834 XR BREDA</t>
  </si>
  <si>
    <t>k.van.gool93@gmail.com</t>
  </si>
  <si>
    <t>Luijkx</t>
  </si>
  <si>
    <t>J.D. Luijkx</t>
  </si>
  <si>
    <t>Rozendaalselaan 9 A</t>
  </si>
  <si>
    <t>6881 KX VELP GLD</t>
  </si>
  <si>
    <t>jelleluijkx@hotmail.com</t>
  </si>
  <si>
    <t>Minkelis</t>
  </si>
  <si>
    <t>G.T. van de Minkelis</t>
  </si>
  <si>
    <t>Dijkstraat 89</t>
  </si>
  <si>
    <t>3904 DB VEENENDAAL</t>
  </si>
  <si>
    <t>thijs_van_de_minkelis@hotmail.com</t>
  </si>
  <si>
    <t>Schots</t>
  </si>
  <si>
    <t>J.F.A. Schots</t>
  </si>
  <si>
    <t>Breitnerlaan 10</t>
  </si>
  <si>
    <t>3582 HB UTRECHT</t>
  </si>
  <si>
    <t>joost.schots@gmail.com</t>
  </si>
  <si>
    <t>The</t>
  </si>
  <si>
    <t>R.M. The</t>
  </si>
  <si>
    <t>Rasha</t>
  </si>
  <si>
    <t>Wilgenlei 51</t>
  </si>
  <si>
    <t>3052 CB ROTTERDAM</t>
  </si>
  <si>
    <t>rasha_the@live.nl</t>
  </si>
  <si>
    <t>de Koning</t>
  </si>
  <si>
    <t>R. de Koning</t>
  </si>
  <si>
    <t>Ramon</t>
  </si>
  <si>
    <t>ramonk94@hotmail.com</t>
  </si>
  <si>
    <t>Banchaew</t>
  </si>
  <si>
    <t>A. Banchaew</t>
  </si>
  <si>
    <t>Alichan</t>
  </si>
  <si>
    <t>Ligusterlaan 145</t>
  </si>
  <si>
    <t>7101 WT WINTERSWIJK</t>
  </si>
  <si>
    <t>alichanbanchaew@hotmail.com</t>
  </si>
  <si>
    <t>Berendsen</t>
  </si>
  <si>
    <t>J.H.J. Berendsen</t>
  </si>
  <si>
    <t>de Kuinder 11</t>
  </si>
  <si>
    <t>3448 DP WOERDEN</t>
  </si>
  <si>
    <t>joostberendsen@hotmail.com</t>
  </si>
  <si>
    <t>Plas</t>
  </si>
  <si>
    <t>L.A. van der Plas</t>
  </si>
  <si>
    <t>Leon</t>
  </si>
  <si>
    <t>Oranjedam 52</t>
  </si>
  <si>
    <t>2225 DR KATWIJK ZH</t>
  </si>
  <si>
    <t>leonplas4@hotmail.com</t>
  </si>
  <si>
    <t>Poelgeest</t>
  </si>
  <si>
    <t>M. van Poelgeest</t>
  </si>
  <si>
    <t>Mick</t>
  </si>
  <si>
    <t>Pelikaanhof 95</t>
  </si>
  <si>
    <t>2264 JH LEIDSCHENDAM</t>
  </si>
  <si>
    <t>mickvpoelgeest@gmail.com</t>
  </si>
  <si>
    <t>Roelen</t>
  </si>
  <si>
    <t>S.C.A. Roelen</t>
  </si>
  <si>
    <t>Isaac da Costalaan 411</t>
  </si>
  <si>
    <t>2624 ZC DELFT</t>
  </si>
  <si>
    <t>copyrightstijn@hotmail.com</t>
  </si>
  <si>
    <t>Senden</t>
  </si>
  <si>
    <t>J.J.K. van Senden</t>
  </si>
  <si>
    <t>Jaap Jan</t>
  </si>
  <si>
    <t>Ringvaartweg 184 A</t>
  </si>
  <si>
    <t>3065 AG ROTTERDAM</t>
  </si>
  <si>
    <t>jaap-jan@xs4all.nl</t>
  </si>
  <si>
    <t>Wezel</t>
  </si>
  <si>
    <t>B.S. van Wezel</t>
  </si>
  <si>
    <t>Barend</t>
  </si>
  <si>
    <t>Wittenburgerweg 5</t>
  </si>
  <si>
    <t>2244 CA WASSENAAR</t>
  </si>
  <si>
    <t>bsvwezel@gmail.com</t>
  </si>
  <si>
    <t>Grootscholten</t>
  </si>
  <si>
    <t>S.P. Grootscholten</t>
  </si>
  <si>
    <t>Sem</t>
  </si>
  <si>
    <t>Molenwerf 12</t>
  </si>
  <si>
    <t>2635 JT DEN HOORN ZH</t>
  </si>
  <si>
    <t>mvanderven@live.nl</t>
  </si>
  <si>
    <t>Koopmans</t>
  </si>
  <si>
    <t>B.T.G. Koopmans</t>
  </si>
  <si>
    <t>bram</t>
  </si>
  <si>
    <t>Breedstraat 6</t>
  </si>
  <si>
    <t>5321 VN HEDEL</t>
  </si>
  <si>
    <t>btgkoopmans@gmail.com</t>
  </si>
  <si>
    <t>Meer</t>
  </si>
  <si>
    <t>D.E. van der Meer</t>
  </si>
  <si>
    <t>Zwarte Kijkerweg 61</t>
  </si>
  <si>
    <t>7313 HA APELDOORN</t>
  </si>
  <si>
    <t>davidemeer@gmail.com</t>
  </si>
  <si>
    <t>Oudijn</t>
  </si>
  <si>
    <t>A. Oudijn</t>
  </si>
  <si>
    <t>Windmolen 57</t>
  </si>
  <si>
    <t>2986 TK RIDDERKERK</t>
  </si>
  <si>
    <t>arjan_oudijn@msn.com</t>
  </si>
  <si>
    <t>Quadekker</t>
  </si>
  <si>
    <t>T.F. Quadekker</t>
  </si>
  <si>
    <t>Du Rieustraat 4</t>
  </si>
  <si>
    <t>2313 GZ LEIDEN</t>
  </si>
  <si>
    <t>thomasq@casema.nl</t>
  </si>
  <si>
    <t>Veringmeier</t>
  </si>
  <si>
    <t>L.Veringmeier</t>
  </si>
  <si>
    <t>lennard.veringmeier@gmail.com</t>
  </si>
  <si>
    <t>Verstegen</t>
  </si>
  <si>
    <t>R.A.C. Verstegen</t>
  </si>
  <si>
    <t>René</t>
  </si>
  <si>
    <t>Hogeweg 21</t>
  </si>
  <si>
    <t>5411 LP ZEELAND</t>
  </si>
  <si>
    <t>rene_ver@hotmail.com</t>
  </si>
  <si>
    <t>Bizot</t>
  </si>
  <si>
    <t>V. Bizot</t>
  </si>
  <si>
    <t>Vigo</t>
  </si>
  <si>
    <t>Haydnlaan 7</t>
  </si>
  <si>
    <t>1817 GN ALKMAAR</t>
  </si>
  <si>
    <t>vigo_bizot@live.nl</t>
  </si>
  <si>
    <t>Dania</t>
  </si>
  <si>
    <t>L.R. Dania</t>
  </si>
  <si>
    <t>Luigi</t>
  </si>
  <si>
    <t>Sabania Abao 25 J</t>
  </si>
  <si>
    <t>Aruba</t>
  </si>
  <si>
    <t>luigi_dania@hotmail.com</t>
  </si>
  <si>
    <t>Grashof</t>
  </si>
  <si>
    <t>B. Grashof</t>
  </si>
  <si>
    <t>Bernd</t>
  </si>
  <si>
    <t>bernd.grashof@hotmail.com</t>
  </si>
  <si>
    <t>Haafkes</t>
  </si>
  <si>
    <t>C. Haafkes</t>
  </si>
  <si>
    <t>c_haafkes@live.nl</t>
  </si>
  <si>
    <t>Heusden</t>
  </si>
  <si>
    <t>A.J.M. van Heusden</t>
  </si>
  <si>
    <t>Toon</t>
  </si>
  <si>
    <t>Balistraat 45 B</t>
  </si>
  <si>
    <t>2585 XL 'S-GRAVENHAGE</t>
  </si>
  <si>
    <t>heusdentoon@hotmail.com</t>
  </si>
  <si>
    <t>Hiemstra</t>
  </si>
  <si>
    <t>O. Hiemstra</t>
  </si>
  <si>
    <t>Olivier</t>
  </si>
  <si>
    <t>Van Cittersstraat 39 B</t>
  </si>
  <si>
    <t>3022 LG ROTTERDAM</t>
  </si>
  <si>
    <t>olivier_hiemstra@hotmail.com</t>
  </si>
  <si>
    <t>G.F.M. Jacobs</t>
  </si>
  <si>
    <t>Guilio</t>
  </si>
  <si>
    <t>Lisdoddekreek 12</t>
  </si>
  <si>
    <t>2353 JR LEIDERDORP</t>
  </si>
  <si>
    <t>guilio_jacobs@hotmail.nl</t>
  </si>
  <si>
    <t>T.L. Scheffers</t>
  </si>
  <si>
    <t>Nicolaas Beetslaan 19</t>
  </si>
  <si>
    <t>3743 HL BAARN</t>
  </si>
  <si>
    <t>tomscheffers_99@hotmail.com</t>
  </si>
  <si>
    <t>Sprockel</t>
  </si>
  <si>
    <t>C.J. Sprockel</t>
  </si>
  <si>
    <t>Colino</t>
  </si>
  <si>
    <t>Witte de Withstraat 16</t>
  </si>
  <si>
    <t>3454 XK DE MEERN</t>
  </si>
  <si>
    <t>coolinoo@gmail.com</t>
  </si>
  <si>
    <t>Aydin</t>
  </si>
  <si>
    <t>G. Aydin</t>
  </si>
  <si>
    <t>Güven</t>
  </si>
  <si>
    <t>Jan van Avennesstraat 21 d</t>
  </si>
  <si>
    <t>3021 RM ROTTERDAM</t>
  </si>
  <si>
    <t>g.aydin1995@gmail.com</t>
  </si>
  <si>
    <t>Gritter</t>
  </si>
  <si>
    <t>M. Gritter</t>
  </si>
  <si>
    <t>Anna van Saksenstraat 13</t>
  </si>
  <si>
    <t>1814 JG ALKMAAR</t>
  </si>
  <si>
    <t>m.gritter@live.nl</t>
  </si>
  <si>
    <t>Haan</t>
  </si>
  <si>
    <t>T. de Haan</t>
  </si>
  <si>
    <t>Taeke</t>
  </si>
  <si>
    <t>Breedveldsingel 104</t>
  </si>
  <si>
    <t>3055 PL ROTTERDAM</t>
  </si>
  <si>
    <t>taeke.dehaan@live.nl</t>
  </si>
  <si>
    <t>S.F.D. Jonker</t>
  </si>
  <si>
    <t>Goosse van der Windstr 28</t>
  </si>
  <si>
    <t>3062 XM ROTTERDAM</t>
  </si>
  <si>
    <t>sebastiaan@solidus.demon.nl</t>
  </si>
  <si>
    <t>Kuyt</t>
  </si>
  <si>
    <t>E.R. Kuyt</t>
  </si>
  <si>
    <t>Enno</t>
  </si>
  <si>
    <t>Schellinglaan 21</t>
  </si>
  <si>
    <t>2271 VD VOORBURG</t>
  </si>
  <si>
    <t>enno.kuyt@hotmail.com</t>
  </si>
  <si>
    <t>J.J.D. Mulder</t>
  </si>
  <si>
    <t>Zevenenderdrift 57</t>
  </si>
  <si>
    <t>1251 RB LAREN NH</t>
  </si>
  <si>
    <t>justin_mulder432@hotmail.com</t>
  </si>
  <si>
    <t>Niekerk</t>
  </si>
  <si>
    <t>J.R. Van Niekerk</t>
  </si>
  <si>
    <t>Koningin Julianaweg 97</t>
  </si>
  <si>
    <t>2264 BC LEIDSCHENDAM</t>
  </si>
  <si>
    <t>jvniekerk@hotmail.com</t>
  </si>
  <si>
    <t>Pont</t>
  </si>
  <si>
    <t>M.H.M. de Pont</t>
  </si>
  <si>
    <t>Europalaan 84</t>
  </si>
  <si>
    <t>5531 BJ BLADEL</t>
  </si>
  <si>
    <t>m.depont@hotmail.com</t>
  </si>
  <si>
    <t>Booij</t>
  </si>
  <si>
    <t>T.C. Booij</t>
  </si>
  <si>
    <t>Hyacintenlaan 19</t>
  </si>
  <si>
    <t>1215 BA HILVERSUM</t>
  </si>
  <si>
    <t>thomas.booij@hotmail.com</t>
  </si>
  <si>
    <t>Esser</t>
  </si>
  <si>
    <t>B.T.M. van Esser</t>
  </si>
  <si>
    <t>Rijksweg 100 A</t>
  </si>
  <si>
    <t>7011 EB GAANDEREN</t>
  </si>
  <si>
    <t>beervanesser@gmail.com</t>
  </si>
  <si>
    <t>Houten</t>
  </si>
  <si>
    <t>S.F. van Houten</t>
  </si>
  <si>
    <t>Oranje Plantage 46</t>
  </si>
  <si>
    <t>2611 TL DELFT</t>
  </si>
  <si>
    <t>s.f.van.houten@gmail.com</t>
  </si>
  <si>
    <t>Kalkan</t>
  </si>
  <si>
    <t>U.M.F. Kalkan</t>
  </si>
  <si>
    <t>Umut</t>
  </si>
  <si>
    <t>Westergosingel 47</t>
  </si>
  <si>
    <t>2548 NX 'S-GRAVENHAGE</t>
  </si>
  <si>
    <t>umut.kalkan@live.nl</t>
  </si>
  <si>
    <t>Laban</t>
  </si>
  <si>
    <t>M.P. Laban</t>
  </si>
  <si>
    <t>Emmalaan 12</t>
  </si>
  <si>
    <t>3581 HT UTRECHT</t>
  </si>
  <si>
    <t>mlaban@planet.nl</t>
  </si>
  <si>
    <t>Laninga</t>
  </si>
  <si>
    <t>B.M. Laninga</t>
  </si>
  <si>
    <t>Bern</t>
  </si>
  <si>
    <t>De Sikkel 5</t>
  </si>
  <si>
    <t>7908 NG HOOGEVEEN</t>
  </si>
  <si>
    <t>bernlaninga@hotmail.com</t>
  </si>
  <si>
    <t>Veeger</t>
  </si>
  <si>
    <t>R.P.E. Veeger</t>
  </si>
  <si>
    <t>Robin</t>
  </si>
  <si>
    <t>Leidsevaart 11</t>
  </si>
  <si>
    <t>2161 AR LISSE</t>
  </si>
  <si>
    <t>robinveeger@hotmail.com</t>
  </si>
  <si>
    <t>Bouwens</t>
  </si>
  <si>
    <t>D. Bouwens</t>
  </si>
  <si>
    <t>Daisy</t>
  </si>
  <si>
    <t>Hulsdonksestraat 128</t>
  </si>
  <si>
    <t>4708 AD ROOSENDAAL</t>
  </si>
  <si>
    <t>deesjedeesje@hotmail.com</t>
  </si>
  <si>
    <t>D.E.R. Beek</t>
  </si>
  <si>
    <t>Django</t>
  </si>
  <si>
    <t>Van Ledenberchstraat 10</t>
  </si>
  <si>
    <t>2334 AT LEIDEN</t>
  </si>
  <si>
    <t>djangobeek@live.nl</t>
  </si>
  <si>
    <t>Beijk</t>
  </si>
  <si>
    <t>S. Beijk</t>
  </si>
  <si>
    <t>Stef</t>
  </si>
  <si>
    <t>Oostvlietstraat 38</t>
  </si>
  <si>
    <t>2271 RK VOORBURG</t>
  </si>
  <si>
    <t>stef_beijk@live.nl</t>
  </si>
  <si>
    <t>Saouti</t>
  </si>
  <si>
    <t>N. Saouti</t>
  </si>
  <si>
    <t>Nouaman</t>
  </si>
  <si>
    <t>Vondelpark 55</t>
  </si>
  <si>
    <t>3842 GP HARDERWIJK</t>
  </si>
  <si>
    <t>noemie1400@hotmail.com</t>
  </si>
  <si>
    <t>Stouten</t>
  </si>
  <si>
    <t>S.A. Stouten</t>
  </si>
  <si>
    <t>Eduard van Beinumlaan 33</t>
  </si>
  <si>
    <t>2343 MN OEGSTGEEST</t>
  </si>
  <si>
    <t>simonstouten@hotmail.com</t>
  </si>
  <si>
    <t>Emmerik</t>
  </si>
  <si>
    <t>F.J.F. van Emmerik</t>
  </si>
  <si>
    <t>Floor van Emmer</t>
  </si>
  <si>
    <t>Bosstraat 7</t>
  </si>
  <si>
    <t>6015 AK NEERITTER</t>
  </si>
  <si>
    <t>floorke@gmail.com</t>
  </si>
  <si>
    <t>de Jong</t>
  </si>
  <si>
    <t>K. de Jong</t>
  </si>
  <si>
    <t>K.deJong@student.tudelft.nl</t>
  </si>
  <si>
    <t>Krijgsman</t>
  </si>
  <si>
    <t>L.E. Krijgsman</t>
  </si>
  <si>
    <t>Rijnsteeg 1</t>
  </si>
  <si>
    <t>3958 NC AMERONGEN</t>
  </si>
  <si>
    <t>laurens_krijgsman@hotmail.com</t>
  </si>
  <si>
    <t>C.E. Dekker</t>
  </si>
  <si>
    <t>Christopher</t>
  </si>
  <si>
    <t>Huyterstraat 6</t>
  </si>
  <si>
    <t>2611 EL DELFT</t>
  </si>
  <si>
    <t>ce.dekker@hotmail.com</t>
  </si>
  <si>
    <t>R.J. Haan</t>
  </si>
  <si>
    <t>Im Ring 10</t>
  </si>
  <si>
    <t>8126 Zumikon</t>
  </si>
  <si>
    <t>Zwitserland</t>
  </si>
  <si>
    <t>rutgerjoost@gmail.com</t>
  </si>
  <si>
    <t>Hurk</t>
  </si>
  <si>
    <t>M.A.C.C. van den Hurk</t>
  </si>
  <si>
    <t>Lindenlaan 7</t>
  </si>
  <si>
    <t>3707 EN ZEIST</t>
  </si>
  <si>
    <t>maurie_95@hotmail.com</t>
  </si>
  <si>
    <t>Koreman</t>
  </si>
  <si>
    <t>J.R. Koreman</t>
  </si>
  <si>
    <t>Multatulistraat 7</t>
  </si>
  <si>
    <t>7204 DA ZUTPHEN</t>
  </si>
  <si>
    <t>job_koreman@hotmail.com</t>
  </si>
  <si>
    <t>Ramsoekh</t>
  </si>
  <si>
    <t>G.K.S. Ramsoekh</t>
  </si>
  <si>
    <t>Gyaan</t>
  </si>
  <si>
    <t>Marian Gobiushof 11</t>
  </si>
  <si>
    <t>2272 TS VOORBURG</t>
  </si>
  <si>
    <t>gyaanramsoekh@hotmail.com</t>
  </si>
  <si>
    <t>Wieme</t>
  </si>
  <si>
    <t>G.K. Wieme</t>
  </si>
  <si>
    <t>Glenn</t>
  </si>
  <si>
    <t>Bernard Zweerslaan 23</t>
  </si>
  <si>
    <t>4536 EK TERNEUZEN</t>
  </si>
  <si>
    <t>glennwieme_010@hotmail.com</t>
  </si>
  <si>
    <t>C. Venema</t>
  </si>
  <si>
    <t>Calvin</t>
  </si>
  <si>
    <t>Van Polanenpark 39</t>
  </si>
  <si>
    <t>2241 SE WASSENAAR</t>
  </si>
  <si>
    <t>calvin_venema@hotmail.com</t>
  </si>
  <si>
    <t>Hora Siccama</t>
  </si>
  <si>
    <t>G.S. Hora Siccama</t>
  </si>
  <si>
    <t>Van Montfoortlaan 3</t>
  </si>
  <si>
    <t>2596 SN 'S-GRAVENHAGE</t>
  </si>
  <si>
    <t>horasiccama@ziggo.nl</t>
  </si>
  <si>
    <t>Ham</t>
  </si>
  <si>
    <t>J.J. van der Ham</t>
  </si>
  <si>
    <t>Beresteyn 3</t>
  </si>
  <si>
    <t>2635 KG DEN HOORN ZH</t>
  </si>
  <si>
    <t>jochempieie@hotmail.com</t>
  </si>
  <si>
    <t>Kolff</t>
  </si>
  <si>
    <t>S.R. Kolff</t>
  </si>
  <si>
    <t>Reneke</t>
  </si>
  <si>
    <t>Trompstraat 93</t>
  </si>
  <si>
    <t>2518 BM 'S-GRAVENHAGE</t>
  </si>
  <si>
    <t>reneke_kolff@hotmail.com</t>
  </si>
  <si>
    <t>Lock</t>
  </si>
  <si>
    <t>C.P. Lock</t>
  </si>
  <si>
    <t>Christiaan</t>
  </si>
  <si>
    <t>Brasemdaal 85</t>
  </si>
  <si>
    <t>2553 NC 'S-GRAVENHAGE</t>
  </si>
  <si>
    <t>christiaanlock@live.nl</t>
  </si>
  <si>
    <t>J.E. Mol</t>
  </si>
  <si>
    <t>Jurgen</t>
  </si>
  <si>
    <t>Clara's pad 45</t>
  </si>
  <si>
    <t>4451 HB HEINKENSZAND</t>
  </si>
  <si>
    <t>jurgenmol@zeelandnet.nl</t>
  </si>
  <si>
    <t>Zaag</t>
  </si>
  <si>
    <t>J.D. van der Zaag</t>
  </si>
  <si>
    <t>Nieuwe Plantage 52</t>
  </si>
  <si>
    <t>2611 XK DELFT</t>
  </si>
  <si>
    <t>jochemzaag@gmail.com</t>
  </si>
  <si>
    <t>Zijl</t>
  </si>
  <si>
    <t>G.F. van Zijl</t>
  </si>
  <si>
    <t>Govert</t>
  </si>
  <si>
    <t>Jansweg 69</t>
  </si>
  <si>
    <t>2011 KM HAARLEM</t>
  </si>
  <si>
    <t>scoutgovert@hotmail.com</t>
  </si>
  <si>
    <t>Klaassen</t>
  </si>
  <si>
    <t>R. Klaassen</t>
  </si>
  <si>
    <t>Bollenhofsestraat 184</t>
  </si>
  <si>
    <t>3572 VW UTRECHT</t>
  </si>
  <si>
    <t>roos.klaassen@hotmail.com</t>
  </si>
  <si>
    <t>Ammerlaan</t>
  </si>
  <si>
    <t>J.H. Ammerlaan</t>
  </si>
  <si>
    <t>Hofzoom 62</t>
  </si>
  <si>
    <t>2614 VD DELFT</t>
  </si>
  <si>
    <t>jelle.ammerlaan@hotmail.com</t>
  </si>
  <si>
    <t>Bargeman</t>
  </si>
  <si>
    <t>J.C. Bargeman</t>
  </si>
  <si>
    <t>Jan</t>
  </si>
  <si>
    <t>Kapelstraat 20</t>
  </si>
  <si>
    <t>6822 AV ARNHEM</t>
  </si>
  <si>
    <t>jan_bargeman@live.nl</t>
  </si>
  <si>
    <t>Bender</t>
  </si>
  <si>
    <t>J.J.B. Bender</t>
  </si>
  <si>
    <t>Jj</t>
  </si>
  <si>
    <t>Prinses Beatrixplantsoen 13</t>
  </si>
  <si>
    <t>1402 TP BUSSUM</t>
  </si>
  <si>
    <t>jamiejanbender@gmail.com</t>
  </si>
  <si>
    <t>Kruimer</t>
  </si>
  <si>
    <t>J.A. Kruimer</t>
  </si>
  <si>
    <t>vroonhoevelaaan 7</t>
  </si>
  <si>
    <t>3062 PD ROTTERDAM</t>
  </si>
  <si>
    <t>j.kruimer@hotmail.com</t>
  </si>
  <si>
    <t>Loef</t>
  </si>
  <si>
    <t>T.O. van Loef</t>
  </si>
  <si>
    <t>Oranje Nassaulaan 55</t>
  </si>
  <si>
    <t>3708 GC ZEIST</t>
  </si>
  <si>
    <t>tommy_vanloef@hotmail.com</t>
  </si>
  <si>
    <t>Schelfaut</t>
  </si>
  <si>
    <t>B.S. Schelfaut</t>
  </si>
  <si>
    <t>Johannes Bildersstraat 40</t>
  </si>
  <si>
    <t>2596 EJ 'S-GRAVENHAGE</t>
  </si>
  <si>
    <t>bart@schelfaut.nl</t>
  </si>
  <si>
    <t>Siers</t>
  </si>
  <si>
    <t>S.J. Siers</t>
  </si>
  <si>
    <t>Sebas</t>
  </si>
  <si>
    <t>GROENEWEG 4</t>
  </si>
  <si>
    <t>1861 PH BERGEN NH</t>
  </si>
  <si>
    <t>sjsiers@hotmail.com</t>
  </si>
  <si>
    <t>Wagenaar</t>
  </si>
  <si>
    <t>B.J.J. Wagenaar</t>
  </si>
  <si>
    <t>Oosterblokker 27</t>
  </si>
  <si>
    <t>1696 BA OOSTERBLOKKER</t>
  </si>
  <si>
    <t>bart_niwa@hotmail.com</t>
  </si>
  <si>
    <t>Djordjevski</t>
  </si>
  <si>
    <t>I. Djordjevski</t>
  </si>
  <si>
    <t>Igor</t>
  </si>
  <si>
    <t>E. du Perronlaan 478</t>
  </si>
  <si>
    <t>2624 ND DELFT</t>
  </si>
  <si>
    <t>igorulez@hotmail.com</t>
  </si>
  <si>
    <t>Duffelen</t>
  </si>
  <si>
    <t>J.R. van Duffelen</t>
  </si>
  <si>
    <t>Obrechtlaan 20</t>
  </si>
  <si>
    <t>3055 TK ROTTERDAM</t>
  </si>
  <si>
    <t>jasper@vanduffelen.nl</t>
  </si>
  <si>
    <t>Klein Meuleman</t>
  </si>
  <si>
    <t>M. Klein Meuleman</t>
  </si>
  <si>
    <t>Lambertusstraat 36</t>
  </si>
  <si>
    <t>3062 WH ROTTERDAM</t>
  </si>
  <si>
    <t>mkmeuleman@gmail.com</t>
  </si>
  <si>
    <t>M.W.F. Roos</t>
  </si>
  <si>
    <t>Vijverlaan 30</t>
  </si>
  <si>
    <t>3062 HK ROTTERDAM</t>
  </si>
  <si>
    <t>michiel_roos10@hotmail.com</t>
  </si>
  <si>
    <t>Schoute</t>
  </si>
  <si>
    <t>T. Schoute</t>
  </si>
  <si>
    <t>Melodiestraat 35</t>
  </si>
  <si>
    <t>2553 VH 'S-GRAVENHAGE</t>
  </si>
  <si>
    <t>tim_schoute@hotmail.com</t>
  </si>
  <si>
    <t>F.M. Verburg</t>
  </si>
  <si>
    <t>Wagemakerspark 80</t>
  </si>
  <si>
    <t>4818 TV BREDA</t>
  </si>
  <si>
    <t>floris.verburg@hotmail.com</t>
  </si>
  <si>
    <t>Welsenes</t>
  </si>
  <si>
    <t>2553 ET Den Haag</t>
  </si>
  <si>
    <t>jeroen.h.v.welsenes@gmail.com</t>
  </si>
  <si>
    <t>Willems</t>
  </si>
  <si>
    <t>L.F.L.T. Willems</t>
  </si>
  <si>
    <t>Van Meerbeekstraat 7</t>
  </si>
  <si>
    <t>2181 AR HILLEGOM</t>
  </si>
  <si>
    <t>laurensbmw@gmail.com</t>
  </si>
  <si>
    <t>Benist</t>
  </si>
  <si>
    <t>B.P. Benist</t>
  </si>
  <si>
    <t>Van Beverningkstraat 24</t>
  </si>
  <si>
    <t>2582 VH 'S-GRAVENHAGE</t>
  </si>
  <si>
    <t>bram.benist@gmail.com</t>
  </si>
  <si>
    <t>Korthals Altes</t>
  </si>
  <si>
    <t>M.A. Korthals Altes</t>
  </si>
  <si>
    <t>President Kennedylaan 10 BY SWD</t>
  </si>
  <si>
    <t>3971 KP DRIEBERGEN-RIJSENBURG</t>
  </si>
  <si>
    <t>mau.kort.alt@hotmail.com</t>
  </si>
  <si>
    <t>Nagtzaam</t>
  </si>
  <si>
    <t>R.H.M.Q. Nagtzaam</t>
  </si>
  <si>
    <t>Dillenburgstraat 77</t>
  </si>
  <si>
    <t>4835 EB BREDA</t>
  </si>
  <si>
    <t>ruudnagtzaam@hotmail.com</t>
  </si>
  <si>
    <t>Oude Vrielink</t>
  </si>
  <si>
    <t>T.R. Oude Vrielink</t>
  </si>
  <si>
    <t>Coornhertlaan 6</t>
  </si>
  <si>
    <t>3818 RJ AMERSFOORT</t>
  </si>
  <si>
    <t>thijsoudevrielink@gmail.com</t>
  </si>
  <si>
    <t>D.A.A. de Wit</t>
  </si>
  <si>
    <t>Lange Dreef 7</t>
  </si>
  <si>
    <t>4124 AJ HAGESTEIN</t>
  </si>
  <si>
    <t>dennis-dewit@hotmail.com</t>
  </si>
  <si>
    <t>Sobhi</t>
  </si>
  <si>
    <t>R. Sobhi</t>
  </si>
  <si>
    <t>Roberto</t>
  </si>
  <si>
    <t>Jacob van Campenplein 17</t>
  </si>
  <si>
    <t>3067 LA ROTTERDAM</t>
  </si>
  <si>
    <t>darkroberto@msn.com</t>
  </si>
  <si>
    <t>Bie</t>
  </si>
  <si>
    <t>L. de Bie</t>
  </si>
  <si>
    <t>Lisette</t>
  </si>
  <si>
    <t>Sleutelbloemstraat 2</t>
  </si>
  <si>
    <t>2651 MN BERKEL EN RODENRIJS</t>
  </si>
  <si>
    <t>lisette.debie@gmail.com</t>
  </si>
  <si>
    <t>Dillmann</t>
  </si>
  <si>
    <t>K.R. Dillmann</t>
  </si>
  <si>
    <t>Karyna</t>
  </si>
  <si>
    <t>Lelyweg 10</t>
  </si>
  <si>
    <t>2661 TT BERGSCHENHOEK</t>
  </si>
  <si>
    <t>karodil@msn.com</t>
  </si>
  <si>
    <t>Bijl</t>
  </si>
  <si>
    <t>S.W.M. van der Bijl</t>
  </si>
  <si>
    <t>van Hasseltlaan 574</t>
  </si>
  <si>
    <t>2625 JK DELFT</t>
  </si>
  <si>
    <t>stevenvanderbijl@hotmail.com</t>
  </si>
  <si>
    <t>Y. Boekhout</t>
  </si>
  <si>
    <t>Langeweg 171</t>
  </si>
  <si>
    <t>4133 AW VIANEN UT</t>
  </si>
  <si>
    <t>yannickboekhout@gmail.com</t>
  </si>
  <si>
    <t>Kempen</t>
  </si>
  <si>
    <t>S.J. Kempen</t>
  </si>
  <si>
    <t>Zuideinde 67 A</t>
  </si>
  <si>
    <t>2445 AT AARLANDERVEEN</t>
  </si>
  <si>
    <t>sander_kempen@hotmail.com</t>
  </si>
  <si>
    <t>Logeman</t>
  </si>
  <si>
    <t>J.A. Logeman</t>
  </si>
  <si>
    <t>Lingsesdijk 58</t>
  </si>
  <si>
    <t>4207 AE GORINCHEM</t>
  </si>
  <si>
    <t>joris.logeman@gmail.com</t>
  </si>
  <si>
    <t>T.P. Meester</t>
  </si>
  <si>
    <t>Timo</t>
  </si>
  <si>
    <t>Breewei 38</t>
  </si>
  <si>
    <t>8406 EE TIJNJE</t>
  </si>
  <si>
    <t>timomeester@gmail.com</t>
  </si>
  <si>
    <t>Buwalda</t>
  </si>
  <si>
    <t>J.D. Buwalda</t>
  </si>
  <si>
    <t>Jip Buwalda</t>
  </si>
  <si>
    <t>Wulpendreef 17</t>
  </si>
  <si>
    <t>2841 NN MOORDRECHT</t>
  </si>
  <si>
    <t>jipbuwalda@hotmail.com</t>
  </si>
  <si>
    <t>Leeuwen</t>
  </si>
  <si>
    <t>N.J. van Leeuwen</t>
  </si>
  <si>
    <t>Nico</t>
  </si>
  <si>
    <t>Beecksanghlaan 32</t>
  </si>
  <si>
    <t>1951 LR VELSEN-NOORD</t>
  </si>
  <si>
    <t>nico_assh@hotmail.com</t>
  </si>
  <si>
    <t>Hondeborg</t>
  </si>
  <si>
    <t>D.L. Hondeborg</t>
  </si>
  <si>
    <t>Dianne</t>
  </si>
  <si>
    <t>Rheebrugge 2</t>
  </si>
  <si>
    <t>9472 RG ZUIDLAREN</t>
  </si>
  <si>
    <t>dianne.hondeborg@hotmail.com</t>
  </si>
  <si>
    <t>Groot Beumer</t>
  </si>
  <si>
    <t>M.L. Groot Beumer</t>
  </si>
  <si>
    <t>Morris</t>
  </si>
  <si>
    <t>Baljuwenlaan 8</t>
  </si>
  <si>
    <t>1181 BA AMSTELVEEN</t>
  </si>
  <si>
    <t>morris@grootbeumer.com</t>
  </si>
  <si>
    <t>Hermans</t>
  </si>
  <si>
    <t>J.C.L.M. Hermans</t>
  </si>
  <si>
    <t>Roodenburgerstraat 6</t>
  </si>
  <si>
    <t>2313 HK LEIDEN</t>
  </si>
  <si>
    <t>jobm34@hotmail.com</t>
  </si>
  <si>
    <t>Moti</t>
  </si>
  <si>
    <t>J.R. Moti</t>
  </si>
  <si>
    <t>Jimray</t>
  </si>
  <si>
    <t>Anslostraat 116</t>
  </si>
  <si>
    <t>2533 KH 'S-GRAVENHAGE</t>
  </si>
  <si>
    <t>jimray_m@hotmail.com</t>
  </si>
  <si>
    <t>Ulijn</t>
  </si>
  <si>
    <t>D.W. Ulijn</t>
  </si>
  <si>
    <t>Dirk</t>
  </si>
  <si>
    <t>Pauwhof 143</t>
  </si>
  <si>
    <t>2289 BL RIJSWIJK ZH</t>
  </si>
  <si>
    <t>dirk.ulijn@gmail.com</t>
  </si>
  <si>
    <t>Verkou</t>
  </si>
  <si>
    <t>M.H. Verkou</t>
  </si>
  <si>
    <t>Weimersedreef 8</t>
  </si>
  <si>
    <t>4841 KG PRINSENBEEK</t>
  </si>
  <si>
    <t>maartenll@live.nl</t>
  </si>
  <si>
    <t>Dros</t>
  </si>
  <si>
    <t>J. Dros</t>
  </si>
  <si>
    <t>Harkebuurt 4</t>
  </si>
  <si>
    <t>1794 HM OOSTEREND NH</t>
  </si>
  <si>
    <t>vos-dros@hotmail.com</t>
  </si>
  <si>
    <t>Sutopo</t>
  </si>
  <si>
    <t>N.D.K. Sutopo</t>
  </si>
  <si>
    <t>Kinan</t>
  </si>
  <si>
    <t>Praagsingel 15</t>
  </si>
  <si>
    <t>2548 TT 'S-GRAVENHAGE</t>
  </si>
  <si>
    <t>kinansutopo@live.nl</t>
  </si>
  <si>
    <t>C.S. de Wit</t>
  </si>
  <si>
    <t>Charlotte</t>
  </si>
  <si>
    <t>Brussellaan 38</t>
  </si>
  <si>
    <t>5224 VJ 'S-HERTOGENBOSCH</t>
  </si>
  <si>
    <t>dat_klopt_zeker@hotmail.com</t>
  </si>
  <si>
    <t>Delfos</t>
  </si>
  <si>
    <t>S. Delfos</t>
  </si>
  <si>
    <t>De Velden 108</t>
  </si>
  <si>
    <t>3124 CP SCHIEDAM</t>
  </si>
  <si>
    <t>sanderdelfos@hotmail.com</t>
  </si>
  <si>
    <t>Dirrix</t>
  </si>
  <si>
    <t>J.J. Dirrix</t>
  </si>
  <si>
    <t>Joop</t>
  </si>
  <si>
    <t>Jozef Israelsstraat 80</t>
  </si>
  <si>
    <t>9718 GP GRONINGEN</t>
  </si>
  <si>
    <t>joopdirrix@gmail.com</t>
  </si>
  <si>
    <t>Engelshoven</t>
  </si>
  <si>
    <t>T.M.M.P. van Engelshoven</t>
  </si>
  <si>
    <t>Thyco</t>
  </si>
  <si>
    <t>Hoog Hoefloo 37</t>
  </si>
  <si>
    <t>1251 EC LAREN NH</t>
  </si>
  <si>
    <t>tvengelshoven@gmail.com</t>
  </si>
  <si>
    <t>Grevet</t>
  </si>
  <si>
    <t>C. Grevet</t>
  </si>
  <si>
    <t>Camiel</t>
  </si>
  <si>
    <t>Dwerggrashof 1</t>
  </si>
  <si>
    <t>1313 AT ALMERE</t>
  </si>
  <si>
    <t>camielgrevet@gmail.com</t>
  </si>
  <si>
    <t>Nuijts</t>
  </si>
  <si>
    <t>I.R. Nuijts</t>
  </si>
  <si>
    <t>Ivar</t>
  </si>
  <si>
    <t>Maldenhof 135</t>
  </si>
  <si>
    <t>1106 ED AMSTERDAM ZUIDOOST</t>
  </si>
  <si>
    <t>ivarnu@live.nl</t>
  </si>
  <si>
    <t>Sewgobind</t>
  </si>
  <si>
    <t>N.S. Sewgobind</t>
  </si>
  <si>
    <t>Niraj</t>
  </si>
  <si>
    <t>Tefelenstraat 144</t>
  </si>
  <si>
    <t>1107 SN AMSTERDAM ZUIDOOST</t>
  </si>
  <si>
    <t>nirajsewgobind@gmail.com</t>
  </si>
  <si>
    <t>L. Peters</t>
  </si>
  <si>
    <t>Luka</t>
  </si>
  <si>
    <t>Jacoba van Beierenlaan 91</t>
  </si>
  <si>
    <t>2613 JC DELFT</t>
  </si>
  <si>
    <t>luka.peters@telfort.nl</t>
  </si>
  <si>
    <t>Adrichem</t>
  </si>
  <si>
    <t>M.S. van Adrichem</t>
  </si>
  <si>
    <t>Merlijn</t>
  </si>
  <si>
    <t>Litouwen 33</t>
  </si>
  <si>
    <t>2613 MB DELFT</t>
  </si>
  <si>
    <t>m.v.a.stanislas@hotmail.com</t>
  </si>
  <si>
    <t>J.M. van den Berg</t>
  </si>
  <si>
    <t>Vermiljoenstraat 7</t>
  </si>
  <si>
    <t>1339 BC ALMERE</t>
  </si>
  <si>
    <t>jespermaik@gmail.com</t>
  </si>
  <si>
    <t>Falkena</t>
  </si>
  <si>
    <t>S.T. Falkena</t>
  </si>
  <si>
    <t>Sieger</t>
  </si>
  <si>
    <t>Harichsterdyk 24</t>
  </si>
  <si>
    <t>8571 RL HARICH</t>
  </si>
  <si>
    <t>siegerfalkena@hotmail.com</t>
  </si>
  <si>
    <t>Gorsse</t>
  </si>
  <si>
    <t>D.G.M. Gorsse</t>
  </si>
  <si>
    <t>Duke Ellingtonlaan 39</t>
  </si>
  <si>
    <t>4462 LG GOES</t>
  </si>
  <si>
    <t>daangorsse@live.nl</t>
  </si>
  <si>
    <t>Kluijver</t>
  </si>
  <si>
    <t>D.B. Kluijver</t>
  </si>
  <si>
    <t>Dekkersbos 31</t>
  </si>
  <si>
    <t>3956 TH LEERSUM</t>
  </si>
  <si>
    <t>daankluijver@hotmail.nl</t>
  </si>
  <si>
    <t>Sixma baron van Heemstra</t>
  </si>
  <si>
    <t>A.L. Sixma baron van Heemstra</t>
  </si>
  <si>
    <t>Luis van Heemst</t>
  </si>
  <si>
    <t>Gachardstraat 44</t>
  </si>
  <si>
    <t>alvanheemstra@yahoo.es</t>
  </si>
  <si>
    <t>Wieringa</t>
  </si>
  <si>
    <t>M.E. Wieringa</t>
  </si>
  <si>
    <t>Prof. Telderslaan 143</t>
  </si>
  <si>
    <t>2628 XB DELFT</t>
  </si>
  <si>
    <t>wieringa.mark@gmail.com</t>
  </si>
  <si>
    <t>Al</t>
  </si>
  <si>
    <t>M.K. Al</t>
  </si>
  <si>
    <t>Spinderspad 6</t>
  </si>
  <si>
    <t>1561 AR KROMMENIE</t>
  </si>
  <si>
    <t>muse_mos@hotmail.com</t>
  </si>
  <si>
    <t>C.J. van Duijn</t>
  </si>
  <si>
    <t>het Kooiveen 12</t>
  </si>
  <si>
    <t>8096 MC OLDEBROEK</t>
  </si>
  <si>
    <t>nielsvanduijn@live.nl</t>
  </si>
  <si>
    <t>Kervers</t>
  </si>
  <si>
    <t>T.F. Kervers</t>
  </si>
  <si>
    <t>Arie de Zeeuwstraat 29</t>
  </si>
  <si>
    <t>tijmen@kervers.nl</t>
  </si>
  <si>
    <t>Nijs</t>
  </si>
  <si>
    <t>A.E. de Nijs</t>
  </si>
  <si>
    <t>Twan</t>
  </si>
  <si>
    <t>Lange Voort 311</t>
  </si>
  <si>
    <t>2343 JZ OEGSTGEEST</t>
  </si>
  <si>
    <t>twandenijs@gmail.com</t>
  </si>
  <si>
    <t>Schmeits</t>
  </si>
  <si>
    <t>V.F. Schmeits</t>
  </si>
  <si>
    <t>Gipskruidweg 151</t>
  </si>
  <si>
    <t>1313 CS ALMERE</t>
  </si>
  <si>
    <t>vinschm@gmail.com</t>
  </si>
  <si>
    <t>Witkamp</t>
  </si>
  <si>
    <t>A.E. Witkamp</t>
  </si>
  <si>
    <t>Lange Kerkdam 25</t>
  </si>
  <si>
    <t>2242 BN WASSENAAR</t>
  </si>
  <si>
    <t>alexanderewitkamp@gmail.com</t>
  </si>
  <si>
    <t>Wynaendts</t>
  </si>
  <si>
    <t>H.P. Wynaendts</t>
  </si>
  <si>
    <t>Henry</t>
  </si>
  <si>
    <t>Bankastraat 132</t>
  </si>
  <si>
    <t>2585 ET 'S-GRAVENHAGE</t>
  </si>
  <si>
    <t>hen_wen731@hotmail.com</t>
  </si>
  <si>
    <t>Dalstra</t>
  </si>
  <si>
    <t>H. Dalstra</t>
  </si>
  <si>
    <t>Hille</t>
  </si>
  <si>
    <t>Butergers 8</t>
  </si>
  <si>
    <t>8401 MA GORREDIJK</t>
  </si>
  <si>
    <t>hdalstra@kpnmail.nl</t>
  </si>
  <si>
    <t>Molenaar</t>
  </si>
  <si>
    <t>P. Molenaar</t>
  </si>
  <si>
    <t>Kerkweg 40</t>
  </si>
  <si>
    <t>2941 BM LEKKERKERK</t>
  </si>
  <si>
    <t>pim.molenaar@live.nl</t>
  </si>
  <si>
    <t>Ophof</t>
  </si>
  <si>
    <t>O.A. Ophof</t>
  </si>
  <si>
    <t>Buizengat 7</t>
  </si>
  <si>
    <t>3134 AG VLAARDINGEN</t>
  </si>
  <si>
    <t>oaophof@gmail.com</t>
  </si>
  <si>
    <t>Ras</t>
  </si>
  <si>
    <t>M.J. Ras</t>
  </si>
  <si>
    <t>Meindert</t>
  </si>
  <si>
    <t>Vrijheidsplaat 30</t>
  </si>
  <si>
    <t>8303 KE EMMELOORD</t>
  </si>
  <si>
    <t>meindert_ras@live.nl</t>
  </si>
  <si>
    <t>Vals</t>
  </si>
  <si>
    <t>F.P.M.H. van Vals</t>
  </si>
  <si>
    <t>Florent</t>
  </si>
  <si>
    <t>Verwersstraat 81</t>
  </si>
  <si>
    <t>5211 HV 'S-HERTOGENBOSCH</t>
  </si>
  <si>
    <t>florentv.vals@hotmail.com</t>
  </si>
  <si>
    <t>Vogelaar</t>
  </si>
  <si>
    <t>L. Vogelaar</t>
  </si>
  <si>
    <t>Hobbemalaan 13</t>
  </si>
  <si>
    <t>1399 EV MUIDERBERG</t>
  </si>
  <si>
    <t>luuk.vogelaar@xs4all.nl</t>
  </si>
  <si>
    <t>Oldhoff</t>
  </si>
  <si>
    <t>M.G.E. Oldhoff</t>
  </si>
  <si>
    <t>Miriam</t>
  </si>
  <si>
    <t>Thieboutmarke 2</t>
  </si>
  <si>
    <t>8016 ME ZWOLLE</t>
  </si>
  <si>
    <t>mgeoldhoff@gmail.com</t>
  </si>
  <si>
    <t>Haren</t>
  </si>
  <si>
    <t>E.M. van Haren</t>
  </si>
  <si>
    <t>Westerse Drift 71</t>
  </si>
  <si>
    <t>9752 LC HAREN GN</t>
  </si>
  <si>
    <t>eduardvanharen@hotmail.com</t>
  </si>
  <si>
    <t>Roelofs</t>
  </si>
  <si>
    <t>B.M. Roelofs</t>
  </si>
  <si>
    <t>Prinses Irenestraat 44</t>
  </si>
  <si>
    <t>6611 BJ OVERASSELT</t>
  </si>
  <si>
    <t>bas.roelofs@gmail.com</t>
  </si>
  <si>
    <t>Schreurs</t>
  </si>
  <si>
    <t>R. Schreurs</t>
  </si>
  <si>
    <t>Grachtenweg 13</t>
  </si>
  <si>
    <t>8097 RD OOSTERWOLDE GLD</t>
  </si>
  <si>
    <t>rutger2709@live.nl</t>
  </si>
  <si>
    <t>Slits</t>
  </si>
  <si>
    <t>W.S. Slits</t>
  </si>
  <si>
    <t>Theaterhof 16</t>
  </si>
  <si>
    <t>4207 TM GORINCHEM</t>
  </si>
  <si>
    <t>wouter_slits@hotmail.com</t>
  </si>
  <si>
    <t>F. Versluis</t>
  </si>
  <si>
    <t>Floyd Versluis</t>
  </si>
  <si>
    <t>Reigerlaan 21</t>
  </si>
  <si>
    <t>2941 RH LEKKERKERK</t>
  </si>
  <si>
    <t>floversluis@hotmail.com</t>
  </si>
  <si>
    <t>Wanamarta</t>
  </si>
  <si>
    <t>T.C.W. Wanamarta</t>
  </si>
  <si>
    <t>Eelderstraat 3</t>
  </si>
  <si>
    <t>1171 JD BADHOEVEDORP</t>
  </si>
  <si>
    <t>tim.wanamarta@gmail.com</t>
  </si>
  <si>
    <t>Dommerholt</t>
  </si>
  <si>
    <t>A.W. Dommerholt</t>
  </si>
  <si>
    <t>Naomi</t>
  </si>
  <si>
    <t>E. du Perronlaan 178</t>
  </si>
  <si>
    <t>2624 NB DELFT</t>
  </si>
  <si>
    <t>naomidommerholt@msn.com</t>
  </si>
  <si>
    <t>T.J. Ammerlaan</t>
  </si>
  <si>
    <t>Marsmanstraat 7</t>
  </si>
  <si>
    <t>1822 JE ALKMAAR</t>
  </si>
  <si>
    <t>thomas_ammerlaan@hotmail.com</t>
  </si>
  <si>
    <t>Gratama van Andel</t>
  </si>
  <si>
    <t>S.F. Gratama van Andel</t>
  </si>
  <si>
    <t>Seerp</t>
  </si>
  <si>
    <t>Krugerlaan 5</t>
  </si>
  <si>
    <t>2806 EA GOUDA</t>
  </si>
  <si>
    <t>seerp.gva@hotmail.com</t>
  </si>
  <si>
    <t>Hazel</t>
  </si>
  <si>
    <t>A.D. Hazel</t>
  </si>
  <si>
    <t>Arsenio</t>
  </si>
  <si>
    <t>Beukenwede 112</t>
  </si>
  <si>
    <t>2993 TH BARENDRECHT</t>
  </si>
  <si>
    <t>arsenio.hazel@gmail.com</t>
  </si>
  <si>
    <t>Hof</t>
  </si>
  <si>
    <t>Q.V. van 't Hof</t>
  </si>
  <si>
    <t>Louise de Colignystraat 20</t>
  </si>
  <si>
    <t>2641 GX PIJNACKER</t>
  </si>
  <si>
    <t>quino_vandijk@hotmail.com</t>
  </si>
  <si>
    <t>Kloppenburg</t>
  </si>
  <si>
    <t>A.M. Kloppenburg</t>
  </si>
  <si>
    <t>Tillepaed 5</t>
  </si>
  <si>
    <t>9258 CB JISTRUM</t>
  </si>
  <si>
    <t>alexander@famkloppenburg.nl</t>
  </si>
  <si>
    <t>H. Kramer</t>
  </si>
  <si>
    <t>Henrie</t>
  </si>
  <si>
    <t>Karel Doormanweg 60 d</t>
  </si>
  <si>
    <t>8309 PD TOLLEBEEK</t>
  </si>
  <si>
    <t>h.kramer@live.nl</t>
  </si>
  <si>
    <t>Vaart</t>
  </si>
  <si>
    <t>L.M.A. van der Vaart</t>
  </si>
  <si>
    <t>Twickellaan 4</t>
  </si>
  <si>
    <t>7531 HV ENSCHEDE</t>
  </si>
  <si>
    <t>lennardvandervaart@hotmail.com</t>
  </si>
  <si>
    <t>Daswani</t>
  </si>
  <si>
    <t>G.S. Daswani</t>
  </si>
  <si>
    <t>Gaurav</t>
  </si>
  <si>
    <t>Villapark Girouette 91A</t>
  </si>
  <si>
    <t>Willemstad</t>
  </si>
  <si>
    <t>gauravsd8@gmail.com</t>
  </si>
  <si>
    <t>Heunks</t>
  </si>
  <si>
    <t>L. Heunks</t>
  </si>
  <si>
    <t>Lex</t>
  </si>
  <si>
    <t>Oranje-Nassaulaan 103</t>
  </si>
  <si>
    <t>5491 HM SINT OEDENRODE</t>
  </si>
  <si>
    <t>lexheunks@gmail.com</t>
  </si>
  <si>
    <t>M. Mulder</t>
  </si>
  <si>
    <t>Stijne van Sallandtstr 45</t>
  </si>
  <si>
    <t>7431 GN DIEPENVEEN</t>
  </si>
  <si>
    <t>mats.mulder@live.nl</t>
  </si>
  <si>
    <t>M.C. Mulder</t>
  </si>
  <si>
    <t>Hofsteeweg 7</t>
  </si>
  <si>
    <t>5406 TX UDEN</t>
  </si>
  <si>
    <t>caspermulder95@hotmail.com</t>
  </si>
  <si>
    <t>Trumpie</t>
  </si>
  <si>
    <t>E. Trumpie</t>
  </si>
  <si>
    <t>Errol</t>
  </si>
  <si>
    <t>Van Heuven Goedhartlaan 157</t>
  </si>
  <si>
    <t>1181 KK AMSTELVEEN</t>
  </si>
  <si>
    <t>ertrumpie@gmail.com</t>
  </si>
  <si>
    <t>Vlist</t>
  </si>
  <si>
    <t>K.J. van der Vlist</t>
  </si>
  <si>
    <t>Klaas Jan</t>
  </si>
  <si>
    <t>Laantje 13</t>
  </si>
  <si>
    <t>4225 PC NOORDELOOS</t>
  </si>
  <si>
    <t>klaasjanvdvlist@gmail.com</t>
  </si>
  <si>
    <t>Bouman</t>
  </si>
  <si>
    <t>F.F. Bouman</t>
  </si>
  <si>
    <t>Foskien</t>
  </si>
  <si>
    <t>Westerhoutpark 3</t>
  </si>
  <si>
    <t>2012 JL HAARLEM</t>
  </si>
  <si>
    <t>foskienbouman@hotmail.com</t>
  </si>
  <si>
    <t>Deelstra</t>
  </si>
  <si>
    <t>T. Deelstra</t>
  </si>
  <si>
    <t>Ringslang 120</t>
  </si>
  <si>
    <t>1187 BT AMSTELVEEN</t>
  </si>
  <si>
    <t>deelstratim@gmail.com</t>
  </si>
  <si>
    <t>Evers</t>
  </si>
  <si>
    <t>J.J. Evers</t>
  </si>
  <si>
    <t>Jorn</t>
  </si>
  <si>
    <t>Heemraadssingel 119 BY</t>
  </si>
  <si>
    <t>3022 CC ROTTERDAM</t>
  </si>
  <si>
    <t>jornjanevers@hotmail.com</t>
  </si>
  <si>
    <t>Linden</t>
  </si>
  <si>
    <t>M.J. van der Linden</t>
  </si>
  <si>
    <t>Bussummerstraat 27</t>
  </si>
  <si>
    <t>1411 PL NAARDEN</t>
  </si>
  <si>
    <t>maxieman_@hotmail.com</t>
  </si>
  <si>
    <t>R.J. van Wijk</t>
  </si>
  <si>
    <t>Cypergrasweg 35</t>
  </si>
  <si>
    <t>1313 AK ALMERE</t>
  </si>
  <si>
    <t>r_van_wijk@msn.com</t>
  </si>
  <si>
    <t>Hensens</t>
  </si>
  <si>
    <t>D. Hensens</t>
  </si>
  <si>
    <t>davidhensens@gmail.com</t>
  </si>
  <si>
    <t>Boon</t>
  </si>
  <si>
    <t>F.C.M. Boon</t>
  </si>
  <si>
    <t>Floor</t>
  </si>
  <si>
    <t>Van Limburg Stirumstraat 12</t>
  </si>
  <si>
    <t>3581 VB UTRECHT</t>
  </si>
  <si>
    <t>floortje-boon@hotmail.com</t>
  </si>
  <si>
    <t>Burgers</t>
  </si>
  <si>
    <t>I.A.E. Burgers</t>
  </si>
  <si>
    <t>Iris</t>
  </si>
  <si>
    <t>Romeweg 10</t>
  </si>
  <si>
    <t>5632 RP EINDHOVEN</t>
  </si>
  <si>
    <t>irisburgers95@gmail.com</t>
  </si>
  <si>
    <t>Cornet</t>
  </si>
  <si>
    <t>R. Cornet</t>
  </si>
  <si>
    <t>'t Magesijn 38</t>
  </si>
  <si>
    <t>4791 KJ KLUNDERT</t>
  </si>
  <si>
    <t>robertcornet@live.nl</t>
  </si>
  <si>
    <t>Huisman</t>
  </si>
  <si>
    <t>N. Huisman</t>
  </si>
  <si>
    <t>Niek</t>
  </si>
  <si>
    <t>Binnendams 9</t>
  </si>
  <si>
    <t>3373 AB HARDINXVELD-GIESSENDAM</t>
  </si>
  <si>
    <t>niekhuisman@hotmail.com</t>
  </si>
  <si>
    <t>Khalik</t>
  </si>
  <si>
    <t>A. Khalik</t>
  </si>
  <si>
    <t>Alan</t>
  </si>
  <si>
    <t>Sweelinckstraat 5</t>
  </si>
  <si>
    <t>2912 VJ NIEUWERKERK AD IJSSEL</t>
  </si>
  <si>
    <t>alanhawlery@hotmail.com</t>
  </si>
  <si>
    <t>Langevelde</t>
  </si>
  <si>
    <t>M. van Langevelde</t>
  </si>
  <si>
    <t>Martin</t>
  </si>
  <si>
    <t>Zonnemare 39</t>
  </si>
  <si>
    <t>4571 CW AXEL</t>
  </si>
  <si>
    <t>mvlangevelde@gmail.com</t>
  </si>
  <si>
    <t>Uittenbogaard</t>
  </si>
  <si>
    <t>M.C. Uittenbogaard</t>
  </si>
  <si>
    <t>Ries</t>
  </si>
  <si>
    <t>Noordzijde 112</t>
  </si>
  <si>
    <t>4225 PM NOORDELOOS</t>
  </si>
  <si>
    <t>riesuittenbogaard@hotmail.com</t>
  </si>
  <si>
    <t>F. van Riessen</t>
  </si>
  <si>
    <t>felixvanriessengurung@gmail.com</t>
  </si>
  <si>
    <t>Janssen</t>
  </si>
  <si>
    <t>M.A.J.W. Janssen</t>
  </si>
  <si>
    <t>Marieke</t>
  </si>
  <si>
    <t>Populierenlaan 17</t>
  </si>
  <si>
    <t>2631 HW NOOTDORP</t>
  </si>
  <si>
    <t>marieke_janssen_1992@hotmail.com</t>
  </si>
  <si>
    <t>Blokland</t>
  </si>
  <si>
    <t>G. Blokland</t>
  </si>
  <si>
    <t>Nieuwendijk 12</t>
  </si>
  <si>
    <t>4225 PE NOORDELOOS</t>
  </si>
  <si>
    <t>geertblokland@hotmail.com</t>
  </si>
  <si>
    <t>Schrader</t>
  </si>
  <si>
    <t>E.J. Schrader</t>
  </si>
  <si>
    <t>Ewald</t>
  </si>
  <si>
    <t>Binnenwatersloot 14 A</t>
  </si>
  <si>
    <t>2611 BK DELFT</t>
  </si>
  <si>
    <t>ewald_schrader@hotmail.com</t>
  </si>
  <si>
    <t>Sorge</t>
  </si>
  <si>
    <t>J.M. van Sorge</t>
  </si>
  <si>
    <t>Ties</t>
  </si>
  <si>
    <t>Schadeken 201</t>
  </si>
  <si>
    <t>2264 KM LEIDSCHENDAM</t>
  </si>
  <si>
    <t>tvsorge@hotmail.com</t>
  </si>
  <si>
    <t>Zwet</t>
  </si>
  <si>
    <t>N.H. Neijmeijer</t>
  </si>
  <si>
    <t>Joran</t>
  </si>
  <si>
    <t>Joris Ivenslaan 39</t>
  </si>
  <si>
    <t>1325 LX ALMERE</t>
  </si>
  <si>
    <t>joran1407@hotmail.com</t>
  </si>
  <si>
    <t>Hugenholtz</t>
  </si>
  <si>
    <t>F.W. Hugenholtz</t>
  </si>
  <si>
    <t>Frederique</t>
  </si>
  <si>
    <t>Nieuwstraat 13</t>
  </si>
  <si>
    <t>2611 HK DELFT</t>
  </si>
  <si>
    <t>frederiquewh@gmail.com</t>
  </si>
  <si>
    <t>Straalen</t>
  </si>
  <si>
    <t>J.H. van Straalen</t>
  </si>
  <si>
    <t>Janiek</t>
  </si>
  <si>
    <t>Merelplein 7</t>
  </si>
  <si>
    <t>2771 SB BOSKOOP</t>
  </si>
  <si>
    <t>janiekvanstraalen@live.nl</t>
  </si>
  <si>
    <t>Bom</t>
  </si>
  <si>
    <t>M.A. Bom</t>
  </si>
  <si>
    <t>IJsdans 32</t>
  </si>
  <si>
    <t>2907 AZ CAPELLE AAN DEN IJSSEL</t>
  </si>
  <si>
    <t>mitchel.bom@live.nl</t>
  </si>
  <si>
    <t>Jeurissen</t>
  </si>
  <si>
    <t>D.K. Jeurissen</t>
  </si>
  <si>
    <t>Damiaan</t>
  </si>
  <si>
    <t>Schiebroekselaan 42</t>
  </si>
  <si>
    <t>3037 RN ROTTERDAM</t>
  </si>
  <si>
    <t>damiaap@hotmail.com</t>
  </si>
  <si>
    <t>Kieft</t>
  </si>
  <si>
    <t>B. Kieft</t>
  </si>
  <si>
    <t>Zaanenlaan 68</t>
  </si>
  <si>
    <t>2024 ZC HAARLEM</t>
  </si>
  <si>
    <t>bassiokieft@hotmail.com</t>
  </si>
  <si>
    <t>Martens</t>
  </si>
  <si>
    <t>H.B. Martens</t>
  </si>
  <si>
    <t>Zwinglilaan 83</t>
  </si>
  <si>
    <t>1216 MC HILVERSUM</t>
  </si>
  <si>
    <t>hylkem@live.nl</t>
  </si>
  <si>
    <t>Ovaa</t>
  </si>
  <si>
    <t>B. Ovaa</t>
  </si>
  <si>
    <t>bart</t>
  </si>
  <si>
    <t>Zandweg 39</t>
  </si>
  <si>
    <t>4389 TG RITTHEM</t>
  </si>
  <si>
    <t>andreovaa@online.nl</t>
  </si>
  <si>
    <t>Jansen</t>
  </si>
  <si>
    <t>H.P.A. Jansen</t>
  </si>
  <si>
    <t>Dintel 15</t>
  </si>
  <si>
    <t>5504 ME VELDHOVEN</t>
  </si>
  <si>
    <t>hildekejansen@hotmail.com</t>
  </si>
  <si>
    <t>Baboen</t>
  </si>
  <si>
    <t>G.K. Baboen</t>
  </si>
  <si>
    <t>Giarsio</t>
  </si>
  <si>
    <t>Beckers</t>
  </si>
  <si>
    <t>T.A. Beckers</t>
  </si>
  <si>
    <t>Sleedoorn 7</t>
  </si>
  <si>
    <t>3984 AR ODIJK</t>
  </si>
  <si>
    <t>thomas.be@hotmail.com</t>
  </si>
  <si>
    <t>Croese</t>
  </si>
  <si>
    <t>J.A. Croese</t>
  </si>
  <si>
    <t>Oudraadtweg 3</t>
  </si>
  <si>
    <t>joel.croese@gmail.com</t>
  </si>
  <si>
    <t>Koetsenruijter</t>
  </si>
  <si>
    <t>D. Koetsenruijter</t>
  </si>
  <si>
    <t>Ludwigstraat 32</t>
  </si>
  <si>
    <t>4701 NH ROOSENDAAL</t>
  </si>
  <si>
    <t>daan.koets@gmail.com</t>
  </si>
  <si>
    <t>Lafkiri</t>
  </si>
  <si>
    <t>R. Lafkiri</t>
  </si>
  <si>
    <t>Redouan</t>
  </si>
  <si>
    <t>Herculesstraat 220</t>
  </si>
  <si>
    <t>2402 VW ALPHEN AAN DEN RIJN</t>
  </si>
  <si>
    <t>riduanlafkiri@hotmail.com</t>
  </si>
  <si>
    <t>Neijmeijer</t>
  </si>
  <si>
    <t>Nout</t>
  </si>
  <si>
    <t>Nuenderbeekselaan 1</t>
  </si>
  <si>
    <t>5673 RC NUENEN</t>
  </si>
  <si>
    <t>nout_iemand@live.nl</t>
  </si>
  <si>
    <t>Schoustra</t>
  </si>
  <si>
    <t>M. Schoustra</t>
  </si>
  <si>
    <t>Michael</t>
  </si>
  <si>
    <t>Wisselspoor 309</t>
  </si>
  <si>
    <t>2908 AD CAPELLE AAN DEN IJSSEL</t>
  </si>
  <si>
    <t>mikeschoustra@gmail.com</t>
  </si>
  <si>
    <t>Spitz</t>
  </si>
  <si>
    <t>B. Spitz</t>
  </si>
  <si>
    <t>In de Wolken 346</t>
  </si>
  <si>
    <t>1186 BT AMSTELVEEN</t>
  </si>
  <si>
    <t>spitz.bob@gmail.com</t>
  </si>
  <si>
    <t>Becker</t>
  </si>
  <si>
    <t>M.P.H. Becker</t>
  </si>
  <si>
    <t>Boslaan 12</t>
  </si>
  <si>
    <t>3701 CJ ZEIST</t>
  </si>
  <si>
    <t>midasbecker@gmail.com</t>
  </si>
  <si>
    <t>Boelhouwers</t>
  </si>
  <si>
    <t>J.E. Boelhouwers</t>
  </si>
  <si>
    <t>Jules</t>
  </si>
  <si>
    <t>Langenberg 6</t>
  </si>
  <si>
    <t>8051 AV HATTEM</t>
  </si>
  <si>
    <t>jules_espen@hotmail.com</t>
  </si>
  <si>
    <t>Oltheten</t>
  </si>
  <si>
    <t>W.G.H. Oltheten</t>
  </si>
  <si>
    <t>Middendorperweg 14</t>
  </si>
  <si>
    <t>7478 PK DIEPENHEIM</t>
  </si>
  <si>
    <t>w.oltheten@planet.nl</t>
  </si>
  <si>
    <t>Tetteroo</t>
  </si>
  <si>
    <t>D.W. Tetteroo</t>
  </si>
  <si>
    <t>Hoyledesingel 41</t>
  </si>
  <si>
    <t>3054 EJ ROTTERDAM</t>
  </si>
  <si>
    <t>daan_tett@hotmail.com</t>
  </si>
  <si>
    <t>Vis</t>
  </si>
  <si>
    <t>J.R. Vis</t>
  </si>
  <si>
    <t>Koningskaars 6</t>
  </si>
  <si>
    <t>2224 DR KATWIJK ZH</t>
  </si>
  <si>
    <t>rens@familievis.com</t>
  </si>
  <si>
    <t>Waller</t>
  </si>
  <si>
    <t>L.A. Waller</t>
  </si>
  <si>
    <t>Laurien</t>
  </si>
  <si>
    <t>Julianastraat 8</t>
  </si>
  <si>
    <t>2012 ES HAARLEM</t>
  </si>
  <si>
    <t>laurienwaller@hotmail.com</t>
  </si>
  <si>
    <t>Boekamp</t>
  </si>
  <si>
    <t>R. Boekamp</t>
  </si>
  <si>
    <t>Westerrand 16</t>
  </si>
  <si>
    <t>8311 AN ESPEL</t>
  </si>
  <si>
    <t>rboek4@hotmail.com</t>
  </si>
  <si>
    <t>Damoiseaux</t>
  </si>
  <si>
    <t>M. Damoiseaux</t>
  </si>
  <si>
    <t>Flessenbergerweg 5</t>
  </si>
  <si>
    <t>8191 LH WAPENVELD</t>
  </si>
  <si>
    <t>m_damoiseaux@hotmail.com</t>
  </si>
  <si>
    <t>Dasli</t>
  </si>
  <si>
    <t>D.A. Dasli</t>
  </si>
  <si>
    <t>Ali</t>
  </si>
  <si>
    <t>Turkse</t>
  </si>
  <si>
    <t>Grasrijk 5 hs</t>
  </si>
  <si>
    <t>1068 BR AMSTERDAM</t>
  </si>
  <si>
    <t>d.a.li_@hotmail.com</t>
  </si>
  <si>
    <t>Klevering</t>
  </si>
  <si>
    <t>S. Klevering</t>
  </si>
  <si>
    <t>Schakerpad 6</t>
  </si>
  <si>
    <t>7391 TP TWELLO</t>
  </si>
  <si>
    <t>stijn_klevering@hotmail.com</t>
  </si>
  <si>
    <t>A.S.A. Steenkamp</t>
  </si>
  <si>
    <t>Aa of Weerijs 18</t>
  </si>
  <si>
    <t>5032 BD TILBURG</t>
  </si>
  <si>
    <t>alexsteenkamp@hotmail.com</t>
  </si>
  <si>
    <t>Tukker</t>
  </si>
  <si>
    <t>J.W.T. Tukker</t>
  </si>
  <si>
    <t>Ernst Casimirlaan 54</t>
  </si>
  <si>
    <t>3708 CK ZEIST</t>
  </si>
  <si>
    <t>jimtukker@gmail.com</t>
  </si>
  <si>
    <t>T.M. Hillen</t>
  </si>
  <si>
    <t>Tessa</t>
  </si>
  <si>
    <t>Oranjelaan 14</t>
  </si>
  <si>
    <t>1405 AZ BUSSUM</t>
  </si>
  <si>
    <t>tessahillen@live.nl</t>
  </si>
  <si>
    <t>Kater</t>
  </si>
  <si>
    <t>E.P. de Kater</t>
  </si>
  <si>
    <t>Esther</t>
  </si>
  <si>
    <t>Veenmos 11</t>
  </si>
  <si>
    <t>3069 AT ROTTERDAM</t>
  </si>
  <si>
    <t>esther_de_kater@hotmail.com</t>
  </si>
  <si>
    <t>Dinaux</t>
  </si>
  <si>
    <t>R.M. Dinaux</t>
  </si>
  <si>
    <t>Raoul</t>
  </si>
  <si>
    <t>Steven van der Hagenlaan 5</t>
  </si>
  <si>
    <t>3818 HD AMERSFOORT</t>
  </si>
  <si>
    <t>raouldinaux@hotmail.com</t>
  </si>
  <si>
    <t>Harteveld</t>
  </si>
  <si>
    <t>K.W. Harteveld</t>
  </si>
  <si>
    <t>Kasper</t>
  </si>
  <si>
    <t>Veerstraat 6</t>
  </si>
  <si>
    <t>2377 AK OUDE WETERING</t>
  </si>
  <si>
    <t>kasperharteveld@gmail.com</t>
  </si>
  <si>
    <t>T.Y. Kramer</t>
  </si>
  <si>
    <t>Timothy</t>
  </si>
  <si>
    <t>Ina Dammanstraat 40</t>
  </si>
  <si>
    <t>1507 PH ZAANDAM</t>
  </si>
  <si>
    <t>kramertckv@gmail.com</t>
  </si>
  <si>
    <t>Oortwijn</t>
  </si>
  <si>
    <t>L. Oortwijn</t>
  </si>
  <si>
    <t>Heilaarstraat 100</t>
  </si>
  <si>
    <t>4813 AW BREDA</t>
  </si>
  <si>
    <t>lars_oortwijn@hotmail.com</t>
  </si>
  <si>
    <t>Rao</t>
  </si>
  <si>
    <t>M.F. Rao</t>
  </si>
  <si>
    <t>Mohan</t>
  </si>
  <si>
    <t>16-101GreenCourt1 777 BiYunLu</t>
  </si>
  <si>
    <t>China</t>
  </si>
  <si>
    <t>momo.rao@gmail.com</t>
  </si>
  <si>
    <t>Uitterdijk</t>
  </si>
  <si>
    <t>N. Uitterdijk</t>
  </si>
  <si>
    <t>Buttervin 49</t>
  </si>
  <si>
    <t>1619 DC ANDIJK</t>
  </si>
  <si>
    <t>niels.uit@hotmail.com</t>
  </si>
  <si>
    <t>Willemsen</t>
  </si>
  <si>
    <t>N.L.B. Willemsen</t>
  </si>
  <si>
    <t>Jachtlaan 111</t>
  </si>
  <si>
    <t>7313 CS APELDOORN</t>
  </si>
  <si>
    <t>niek-hockey@hotmail.com</t>
  </si>
  <si>
    <t>Y. Dasli</t>
  </si>
  <si>
    <t>Yusuf</t>
  </si>
  <si>
    <t>yusuf_dasli@hotmail.com</t>
  </si>
  <si>
    <t>Gomes</t>
  </si>
  <si>
    <t>R.F.P. Gomes</t>
  </si>
  <si>
    <t>Bleihof 59</t>
  </si>
  <si>
    <t>2215 XT VOORHOUT</t>
  </si>
  <si>
    <t>robingomes@ziggo.nl</t>
  </si>
  <si>
    <t>Gregoire</t>
  </si>
  <si>
    <t>P.F. Gregoire</t>
  </si>
  <si>
    <t>Pepijn</t>
  </si>
  <si>
    <t>Drususstraat 20</t>
  </si>
  <si>
    <t>2025 BS HAARLEM</t>
  </si>
  <si>
    <t>pepijngregoire@msn.com</t>
  </si>
  <si>
    <t>Kortekaas</t>
  </si>
  <si>
    <t>J.J.A. Kortekaas</t>
  </si>
  <si>
    <t>Bergse Maas 6</t>
  </si>
  <si>
    <t>2641 VW PIJNACKER</t>
  </si>
  <si>
    <t>joris_joost@hotmail.com</t>
  </si>
  <si>
    <t>D.S. Vonk</t>
  </si>
  <si>
    <t>Derek</t>
  </si>
  <si>
    <t>Prof. Oudpark 19</t>
  </si>
  <si>
    <t>6716 EJ EDE GLD</t>
  </si>
  <si>
    <t>ds_vonk@hotmail.com</t>
  </si>
  <si>
    <t>Ardenne</t>
  </si>
  <si>
    <t>X.A. van Ardenne</t>
  </si>
  <si>
    <t>Xavier</t>
  </si>
  <si>
    <t>P.C. Hooftlaan 14</t>
  </si>
  <si>
    <t>3818 HG AMERSFOORT</t>
  </si>
  <si>
    <t>xavanardenne@gmail.com</t>
  </si>
  <si>
    <t>Damme</t>
  </si>
  <si>
    <t>K. van Damme</t>
  </si>
  <si>
    <t>Westdijk 8</t>
  </si>
  <si>
    <t>4451 RD HEINKENSZAND</t>
  </si>
  <si>
    <t>koen.v.damme@hotmail.com</t>
  </si>
  <si>
    <t>Dursun</t>
  </si>
  <si>
    <t>F. Dursun</t>
  </si>
  <si>
    <t>Ferhat</t>
  </si>
  <si>
    <t>Granidastraat 70 1</t>
  </si>
  <si>
    <t>1055 HP AMSTERDAM</t>
  </si>
  <si>
    <t>dursun_ferhat@hotmail.com</t>
  </si>
  <si>
    <t>Ingen</t>
  </si>
  <si>
    <t>F.M. van Ingen</t>
  </si>
  <si>
    <t>Bosweg 2</t>
  </si>
  <si>
    <t>8051 NX HATTEM</t>
  </si>
  <si>
    <t>florisingen@hotmail.com</t>
  </si>
  <si>
    <t>Naber</t>
  </si>
  <si>
    <t>S.M.A. Naber</t>
  </si>
  <si>
    <t>Sietze</t>
  </si>
  <si>
    <t>P.C. Hooftweg 3</t>
  </si>
  <si>
    <t>1217 RJ HILVERSUM</t>
  </si>
  <si>
    <t>sietzenaber@msn.com</t>
  </si>
  <si>
    <t>Rutten</t>
  </si>
  <si>
    <t>N.H.A. Rutten</t>
  </si>
  <si>
    <t>Mezenstraat 5</t>
  </si>
  <si>
    <t>2333 VT LEIDEN</t>
  </si>
  <si>
    <t>niek.rutten@live.nl</t>
  </si>
  <si>
    <t>Sprokholt</t>
  </si>
  <si>
    <t>K. Sprokholt</t>
  </si>
  <si>
    <t>Burg Martenssingel 27</t>
  </si>
  <si>
    <t>2806 CL GOUDA</t>
  </si>
  <si>
    <t>k_sprokkie@hotmail.com</t>
  </si>
  <si>
    <t>Tuztasi</t>
  </si>
  <si>
    <t>H. Tuztasi</t>
  </si>
  <si>
    <t>Halis</t>
  </si>
  <si>
    <t>Parallelweg 185</t>
  </si>
  <si>
    <t>2525 NK 'S-GRAVENHAGE</t>
  </si>
  <si>
    <t>halis_ceza@hotmail.com</t>
  </si>
  <si>
    <t>P.J.D. Visser</t>
  </si>
  <si>
    <t>Aan de Wind 11</t>
  </si>
  <si>
    <t>1316 VL ALMERE</t>
  </si>
  <si>
    <t>pieterjandirk@gmail.com</t>
  </si>
  <si>
    <t>Schuller</t>
  </si>
  <si>
    <t>P.T. Schuller</t>
  </si>
  <si>
    <t>Pieter</t>
  </si>
  <si>
    <t>Valkenkamp 1</t>
  </si>
  <si>
    <t>3972 ZA DRIEBERGEN-RIJSENBURG</t>
  </si>
  <si>
    <t>ptschuller@planet.nl</t>
  </si>
  <si>
    <t>d'Hont</t>
  </si>
  <si>
    <t>S. d'Hont</t>
  </si>
  <si>
    <t>Hoefkensdijk 17</t>
  </si>
  <si>
    <t>4584 RS KUITAART</t>
  </si>
  <si>
    <t>sanderovitskaa@zeelandnet.nl</t>
  </si>
  <si>
    <t>Schorning</t>
  </si>
  <si>
    <t>J.R. Schorning</t>
  </si>
  <si>
    <t>Westeinde 60</t>
  </si>
  <si>
    <t>2825 AL BERKENWOUDE</t>
  </si>
  <si>
    <t>schor141@planet.nl</t>
  </si>
  <si>
    <t>pekate@caiway.nl</t>
  </si>
  <si>
    <t>Sauveplanne</t>
  </si>
  <si>
    <t>É.R. Sauveplanne</t>
  </si>
  <si>
    <t>Etienne</t>
  </si>
  <si>
    <t>Thorbeckestraat 12</t>
  </si>
  <si>
    <t>2042 GM ZANDVOORT</t>
  </si>
  <si>
    <t>etjouh@hotmail.com</t>
  </si>
  <si>
    <t>Addi</t>
  </si>
  <si>
    <t>M.A. Addi</t>
  </si>
  <si>
    <t>Mohamed</t>
  </si>
  <si>
    <t>Peggy Ashcroftstraat 30</t>
  </si>
  <si>
    <t>1325 KH ALMERE</t>
  </si>
  <si>
    <t>mo-cool@hotmail.com</t>
  </si>
  <si>
    <t>Albalawi</t>
  </si>
  <si>
    <t>A. Albalawi</t>
  </si>
  <si>
    <t>Abdulrahman</t>
  </si>
  <si>
    <t>Saoediarabische</t>
  </si>
  <si>
    <t>king Fahad Bin Abdulaziz St 17</t>
  </si>
  <si>
    <t>699 TABUK71421</t>
  </si>
  <si>
    <t>Saoedi-Arabië</t>
  </si>
  <si>
    <t>ar99.99@hotmail.com</t>
  </si>
  <si>
    <t>Alconchel Ibarrola</t>
  </si>
  <si>
    <t>A. Alconchel Ibarrola</t>
  </si>
  <si>
    <t>Andres</t>
  </si>
  <si>
    <t>Spaanse</t>
  </si>
  <si>
    <t>Van Lanscroonstraat 24</t>
  </si>
  <si>
    <t>2596 PA 'S-GRAVENHAGE</t>
  </si>
  <si>
    <t>aalconchel@live.com</t>
  </si>
  <si>
    <t>Arend</t>
  </si>
  <si>
    <t>V.A. van der Arend</t>
  </si>
  <si>
    <t>Vince</t>
  </si>
  <si>
    <t>Lange Broekweg 34</t>
  </si>
  <si>
    <t>2671 DV NAALDWIJK</t>
  </si>
  <si>
    <t>vincearend@gmail.com</t>
  </si>
  <si>
    <t>Baart</t>
  </si>
  <si>
    <t>D.J.L. Baart</t>
  </si>
  <si>
    <t>Steilsteven 61</t>
  </si>
  <si>
    <t>3356 MC PAPENDRECHT</t>
  </si>
  <si>
    <t>dennis.baart@hotmail.com</t>
  </si>
  <si>
    <t>Badaltjawdharie</t>
  </si>
  <si>
    <t>P.W. Badaltjawdharie</t>
  </si>
  <si>
    <t>Prashant</t>
  </si>
  <si>
    <t>Ringspoor 172</t>
  </si>
  <si>
    <t>2908 BC CAPELLE AAN DEN IJSSEL</t>
  </si>
  <si>
    <t>pradelft@gmail.com</t>
  </si>
  <si>
    <t>Badloe</t>
  </si>
  <si>
    <t>V.D. Badloe</t>
  </si>
  <si>
    <t>Vinesh</t>
  </si>
  <si>
    <t>1e Jerichostraat 42 A</t>
  </si>
  <si>
    <t>3061 GG ROTTERDAM</t>
  </si>
  <si>
    <t>vineshbadloe@hotmail.com</t>
  </si>
  <si>
    <t>Bajic</t>
  </si>
  <si>
    <t>T. Bajic</t>
  </si>
  <si>
    <t>Tommy</t>
  </si>
  <si>
    <t>Pieter Klapwijkstraat 62</t>
  </si>
  <si>
    <t>3065 KB ROTTERDAM</t>
  </si>
  <si>
    <t>tomi_bajic@hotmail.com</t>
  </si>
  <si>
    <t>Bakker</t>
  </si>
  <si>
    <t>L.T. Bakker</t>
  </si>
  <si>
    <t>Leander</t>
  </si>
  <si>
    <t>Tilbury 7</t>
  </si>
  <si>
    <t>2171 ND SASSENHEIM</t>
  </si>
  <si>
    <t>leanderbakker@live.nl</t>
  </si>
  <si>
    <t>O. Bakker</t>
  </si>
  <si>
    <t>Strausslaan 22</t>
  </si>
  <si>
    <t>2992 PD BARENDRECHT</t>
  </si>
  <si>
    <t>olav.bakker@outlook.com</t>
  </si>
  <si>
    <t>Barentsen</t>
  </si>
  <si>
    <t>K.W. Barentsen</t>
  </si>
  <si>
    <t>Kaz</t>
  </si>
  <si>
    <t>Van Boetzelaerlaan 22</t>
  </si>
  <si>
    <t>2581 AJ 'S-GRAVENHAGE</t>
  </si>
  <si>
    <t>kazbarentsen@gmail.com</t>
  </si>
  <si>
    <t>Bartels</t>
  </si>
  <si>
    <t>E.A. Bartels</t>
  </si>
  <si>
    <t>Hermelijnlaan 10</t>
  </si>
  <si>
    <t>3734 HC DEN DOLDER</t>
  </si>
  <si>
    <t>emiel.bartels@planet.nl</t>
  </si>
  <si>
    <t>Bavin</t>
  </si>
  <si>
    <t>T.R.R. Bavin</t>
  </si>
  <si>
    <t>Oranjeplein 21</t>
  </si>
  <si>
    <t>2012 LN HAARLEM</t>
  </si>
  <si>
    <t>thomasbavin@hotmail.com</t>
  </si>
  <si>
    <t>C.J. de Beer</t>
  </si>
  <si>
    <t>Goudenregenstraat 1</t>
  </si>
  <si>
    <t>1431 RR AALSMEER</t>
  </si>
  <si>
    <t>carlodebeer@gmail.com</t>
  </si>
  <si>
    <t>Besemer</t>
  </si>
  <si>
    <t>M.D. Besemer</t>
  </si>
  <si>
    <t>Gertrudishof 8</t>
  </si>
  <si>
    <t>3291 GP STRIJEN</t>
  </si>
  <si>
    <t>matthijsbesemer@gmail.com</t>
  </si>
  <si>
    <t>Beukelman</t>
  </si>
  <si>
    <t>M. Beukelman</t>
  </si>
  <si>
    <t>Myron</t>
  </si>
  <si>
    <t>Gustaaf Gelderpad 7</t>
  </si>
  <si>
    <t>3191 AC HOOGVLIET ROTTERDAM</t>
  </si>
  <si>
    <t>beuke534@planet.nl</t>
  </si>
  <si>
    <t>Bicker</t>
  </si>
  <si>
    <t>M. Bicker</t>
  </si>
  <si>
    <t>Merijntje Gijzenstraat 46</t>
  </si>
  <si>
    <t>1507 RC ZAANDAM</t>
  </si>
  <si>
    <t>mbicker@live.nl</t>
  </si>
  <si>
    <t>P. Bijl</t>
  </si>
  <si>
    <t>Haverhof 2</t>
  </si>
  <si>
    <t>2952 EC ALBLASSERDAM</t>
  </si>
  <si>
    <t>philip_volleybal@live.nl</t>
  </si>
  <si>
    <t>Bingel</t>
  </si>
  <si>
    <t>C.T. Bingel</t>
  </si>
  <si>
    <t>Christian</t>
  </si>
  <si>
    <t>Simon Dr. 1344</t>
  </si>
  <si>
    <t>23320 Chesapeake</t>
  </si>
  <si>
    <t>Verenigde Staten Van Amerika</t>
  </si>
  <si>
    <t>christianbingel@gmail.com</t>
  </si>
  <si>
    <t>Boersma</t>
  </si>
  <si>
    <t>S.R. Boersma</t>
  </si>
  <si>
    <t>Sijmen</t>
  </si>
  <si>
    <t>De Wedberg 1</t>
  </si>
  <si>
    <t>9482 RS TYNAARLO</t>
  </si>
  <si>
    <t>sijmen.boersma@home.nl</t>
  </si>
  <si>
    <t>Bont</t>
  </si>
  <si>
    <t>J.S. de Bont</t>
  </si>
  <si>
    <t>Mecklenburglaan 6</t>
  </si>
  <si>
    <t>3062 BJ ROTTERDAM</t>
  </si>
  <si>
    <t>jorisdebont77@gmail.com</t>
  </si>
  <si>
    <t>Borgmann</t>
  </si>
  <si>
    <t>Y. Borgmann</t>
  </si>
  <si>
    <t>Roland Holstlaan 647</t>
  </si>
  <si>
    <t>2624 HS DELFT</t>
  </si>
  <si>
    <t>ykobe23@gmail.com</t>
  </si>
  <si>
    <t>Borren</t>
  </si>
  <si>
    <t>M.N. Borren</t>
  </si>
  <si>
    <t>Mr. P.J. Troelstraweg 86</t>
  </si>
  <si>
    <t>8917 CS LEEUWARDEN</t>
  </si>
  <si>
    <t>marcborren@hotmail.com</t>
  </si>
  <si>
    <t>Bourier</t>
  </si>
  <si>
    <t>S.J.L.B. Bourier</t>
  </si>
  <si>
    <t>Sébastien</t>
  </si>
  <si>
    <t>Dotterbloempad 10</t>
  </si>
  <si>
    <t>1338 TH ALMERE</t>
  </si>
  <si>
    <t>sbourier@kpnmail.nl</t>
  </si>
  <si>
    <t>Brake</t>
  </si>
  <si>
    <t>S.M. ter Brake</t>
  </si>
  <si>
    <t>Hoge Maat 34</t>
  </si>
  <si>
    <t>7625 ND ZENDEREN</t>
  </si>
  <si>
    <t>sjoerdterbrake@home.nl</t>
  </si>
  <si>
    <t>Brandt</t>
  </si>
  <si>
    <t>K.H. Brandt</t>
  </si>
  <si>
    <t>Karel</t>
  </si>
  <si>
    <t>Houtmanstraat 6</t>
  </si>
  <si>
    <t>3262 EH OUD BEIJERLAND</t>
  </si>
  <si>
    <t>kakie95@live.nl</t>
  </si>
  <si>
    <t>Breeman</t>
  </si>
  <si>
    <t>F.W.F. Breeman</t>
  </si>
  <si>
    <t>Filip</t>
  </si>
  <si>
    <t>Tijs van Zeventerstraat 50</t>
  </si>
  <si>
    <t>3062 XP ROTTERDAM</t>
  </si>
  <si>
    <t>fwfbreeman@hotmail.com</t>
  </si>
  <si>
    <t>R.W.E. van den Brink</t>
  </si>
  <si>
    <t>Robbert-Jan</t>
  </si>
  <si>
    <t>Krulmate 119</t>
  </si>
  <si>
    <t>8014 KH ZWOLLE</t>
  </si>
  <si>
    <t>robbertja@gmail.com</t>
  </si>
  <si>
    <t>Brøns</t>
  </si>
  <si>
    <t>D. Brøns</t>
  </si>
  <si>
    <t>Dries</t>
  </si>
  <si>
    <t>Kloosterstraat 59</t>
  </si>
  <si>
    <t>1700 Dilbeek</t>
  </si>
  <si>
    <t>driesbrons@gmail.com</t>
  </si>
  <si>
    <t>Bruggink</t>
  </si>
  <si>
    <t>D.J.J.B. Bruggink</t>
  </si>
  <si>
    <t>Co Bremanlaan 27</t>
  </si>
  <si>
    <t>1251 HT LAREN NH</t>
  </si>
  <si>
    <t>daanbruggink95@hotmail.com</t>
  </si>
  <si>
    <t>C.C. Brunt</t>
  </si>
  <si>
    <t>Pernambucolaan 39</t>
  </si>
  <si>
    <t>2051 LW OVERVEEN</t>
  </si>
  <si>
    <t>casper.brunt@gmail.com</t>
  </si>
  <si>
    <t>Buntinx</t>
  </si>
  <si>
    <t>G. Buntinx</t>
  </si>
  <si>
    <t>Guido Buntinx</t>
  </si>
  <si>
    <t>Statensingel 137</t>
  </si>
  <si>
    <t>6211 PN MAASTRICHT</t>
  </si>
  <si>
    <t>cheatas@live.nl</t>
  </si>
  <si>
    <t>Cain</t>
  </si>
  <si>
    <t>A.A.W. Cain</t>
  </si>
  <si>
    <t>Alejo</t>
  </si>
  <si>
    <t>Tollensstraat 10</t>
  </si>
  <si>
    <t>2902 AP CAPELLE AAN DEN IJSSEL</t>
  </si>
  <si>
    <t>alejocain@hotmail.com</t>
  </si>
  <si>
    <t>Calkoen</t>
  </si>
  <si>
    <t>D.W. Calkoen</t>
  </si>
  <si>
    <t>Oosteinde 22</t>
  </si>
  <si>
    <t>1151 BV BROEK IN WATERLAND</t>
  </si>
  <si>
    <t>diederick@calkoen.nl</t>
  </si>
  <si>
    <t>Çelik</t>
  </si>
  <si>
    <t>E. Çelik</t>
  </si>
  <si>
    <t>Emre</t>
  </si>
  <si>
    <t>Bachsingel 63</t>
  </si>
  <si>
    <t>2625 TC DELFT</t>
  </si>
  <si>
    <t>emrezekihasanhuseyinmeral@hotmail.com</t>
  </si>
  <si>
    <t>P.L. Cheung</t>
  </si>
  <si>
    <t>Pak Long</t>
  </si>
  <si>
    <t>Trompstraat 28</t>
  </si>
  <si>
    <t>2231 RH RIJNSBURG</t>
  </si>
  <si>
    <t>pak_long@live.nl</t>
  </si>
  <si>
    <t>Çoban</t>
  </si>
  <si>
    <t>M. Çoban</t>
  </si>
  <si>
    <t>Mehmet</t>
  </si>
  <si>
    <t>Professor Teldersstraat 5</t>
  </si>
  <si>
    <t>3132 AR VLAARDINGEN</t>
  </si>
  <si>
    <t>mehmet_tin@live.nl</t>
  </si>
  <si>
    <t>Corré</t>
  </si>
  <si>
    <t>S. Corré</t>
  </si>
  <si>
    <t>Sonny</t>
  </si>
  <si>
    <t>Anna Blamanlaan 84</t>
  </si>
  <si>
    <t>4385 KK VLISSINGEN</t>
  </si>
  <si>
    <t>sonny_corre@live.nl</t>
  </si>
  <si>
    <t>De Bock</t>
  </si>
  <si>
    <t>A.S.D. De Bock</t>
  </si>
  <si>
    <t>Prins Filiplaan 22</t>
  </si>
  <si>
    <t>8300 Knokke-heist</t>
  </si>
  <si>
    <t>Dekens</t>
  </si>
  <si>
    <t>J.H. Dekens</t>
  </si>
  <si>
    <t>Jaap</t>
  </si>
  <si>
    <t>Moddermanlaan 8</t>
  </si>
  <si>
    <t>9721 GN GRONINGEN</t>
  </si>
  <si>
    <t>jaapdekens@hotmail.com</t>
  </si>
  <si>
    <t>Dihal</t>
  </si>
  <si>
    <t>S.S. Dihal</t>
  </si>
  <si>
    <t>Sadjen</t>
  </si>
  <si>
    <t>Lisztstraat 115</t>
  </si>
  <si>
    <t>2625 BN DELFT</t>
  </si>
  <si>
    <t>sadjen@casema.nl</t>
  </si>
  <si>
    <t>Dijkhuizen</t>
  </si>
  <si>
    <t>M.S. Dijkhuizen</t>
  </si>
  <si>
    <t>Micha</t>
  </si>
  <si>
    <t>Bijweglaan 21</t>
  </si>
  <si>
    <t>2121 BG BENNEBROEK</t>
  </si>
  <si>
    <t>micha_dijkhuizen@hotmail.com</t>
  </si>
  <si>
    <t>Dijkman</t>
  </si>
  <si>
    <t>M.A. Dijkman</t>
  </si>
  <si>
    <t>Matthys</t>
  </si>
  <si>
    <t>Dokkumerstraatweg 2</t>
  </si>
  <si>
    <t>9112 GT BURDAARD</t>
  </si>
  <si>
    <t>matthys11@hotmail.com</t>
  </si>
  <si>
    <t>Dirksen</t>
  </si>
  <si>
    <t>L. Dirksen</t>
  </si>
  <si>
    <t>Eksterlaan 262</t>
  </si>
  <si>
    <t>2026 XN HAARLEM</t>
  </si>
  <si>
    <t>luc-athletic@hotmail.com</t>
  </si>
  <si>
    <t>Dongelmans</t>
  </si>
  <si>
    <t>A.T. Dongelmans</t>
  </si>
  <si>
    <t>Arnold</t>
  </si>
  <si>
    <t>STEENLOPER 25</t>
  </si>
  <si>
    <t>8532 BK LEMMER</t>
  </si>
  <si>
    <t>arnold_squarepants@hotmail.com</t>
  </si>
  <si>
    <t>Doornbos</t>
  </si>
  <si>
    <t>S.K. Doornbos</t>
  </si>
  <si>
    <t>Koggewaard 120</t>
  </si>
  <si>
    <t>1824 GS ALKMAAR</t>
  </si>
  <si>
    <t>sanderkdoornbos@gmail.com</t>
  </si>
  <si>
    <t>Doornebosch</t>
  </si>
  <si>
    <t>L.M. Doornebosch</t>
  </si>
  <si>
    <t>Heemsteedse Dreef 89</t>
  </si>
  <si>
    <t>2101 KA HEEMSTEDE</t>
  </si>
  <si>
    <t>luukdoornebosch@hotmail.com</t>
  </si>
  <si>
    <t>Drouven</t>
  </si>
  <si>
    <t>M.A. Drouven</t>
  </si>
  <si>
    <t>maarten</t>
  </si>
  <si>
    <t>Forint 12</t>
  </si>
  <si>
    <t>8253 GB DRONTEN</t>
  </si>
  <si>
    <t>maartend92@gmail.com</t>
  </si>
  <si>
    <t>Dutrée</t>
  </si>
  <si>
    <t>N.E. Dutrée</t>
  </si>
  <si>
    <t>Noël</t>
  </si>
  <si>
    <t>Leidseweg 115</t>
  </si>
  <si>
    <t>2253 AA VOORSCHOTEN</t>
  </si>
  <si>
    <t>ndutree@gmail.com</t>
  </si>
  <si>
    <t>Edridge</t>
  </si>
  <si>
    <t>T.I. Edridge</t>
  </si>
  <si>
    <t>Noorderweg 168</t>
  </si>
  <si>
    <t>1222 PH HILVERSUM</t>
  </si>
  <si>
    <t>thomasedridge@gmail.com</t>
  </si>
  <si>
    <t>Eijk</t>
  </si>
  <si>
    <t>M. van der Eijk</t>
  </si>
  <si>
    <t>'s-Gravenweg 157</t>
  </si>
  <si>
    <t>2911 BH NIEUWERKERK AD IJSSEL</t>
  </si>
  <si>
    <t>martinvandereijk@casema.nl</t>
  </si>
  <si>
    <t>Eijkelhof</t>
  </si>
  <si>
    <t>D. Eijkelhof</t>
  </si>
  <si>
    <t>Weerdenburg 24</t>
  </si>
  <si>
    <t>2135 BG HOOFDDORP</t>
  </si>
  <si>
    <t>dylan_eijkelhof@hotmail.com</t>
  </si>
  <si>
    <t>Eijnden</t>
  </si>
  <si>
    <t>I.S. van den Eijnden</t>
  </si>
  <si>
    <t>Irfan</t>
  </si>
  <si>
    <t>Weidevogellaan 123</t>
  </si>
  <si>
    <t>2496 LK 'S-GRAVENHAGE</t>
  </si>
  <si>
    <t>irfan_12@hotmail.com</t>
  </si>
  <si>
    <t>Eijsman</t>
  </si>
  <si>
    <t>M.C. Eijsman</t>
  </si>
  <si>
    <t>Oosteinde 43 B</t>
  </si>
  <si>
    <t>2611 VB DELFT</t>
  </si>
  <si>
    <t>mceijsman@msn.com</t>
  </si>
  <si>
    <t>L.W. Engel</t>
  </si>
  <si>
    <t>Robert Stolzhof 240</t>
  </si>
  <si>
    <t>1628 XA HOORN NH</t>
  </si>
  <si>
    <t>leanderwengel@gmail.com</t>
  </si>
  <si>
    <t>Er</t>
  </si>
  <si>
    <t>H. Er</t>
  </si>
  <si>
    <t>Harun</t>
  </si>
  <si>
    <t>Ridderspoorstraat 19</t>
  </si>
  <si>
    <t>3073 ET ROTTERDAM</t>
  </si>
  <si>
    <t>harun_1994@live.nl</t>
  </si>
  <si>
    <t>Erk</t>
  </si>
  <si>
    <t>F.D. van Erk</t>
  </si>
  <si>
    <t>Flip</t>
  </si>
  <si>
    <t>De Blikken 30</t>
  </si>
  <si>
    <t>4731 WK OUDENBOSCH</t>
  </si>
  <si>
    <t>flipvanerk@hotmail.com</t>
  </si>
  <si>
    <t>Fahad Fadhel Salman Al Janabi</t>
  </si>
  <si>
    <t>. Fahad Fadhel Salman Al Janabi</t>
  </si>
  <si>
    <t>fahad</t>
  </si>
  <si>
    <t>Onbekend</t>
  </si>
  <si>
    <t>Surinamestraat 32</t>
  </si>
  <si>
    <t>2315 XD LEIDEN</t>
  </si>
  <si>
    <t>fahad.aljanabi.90@gmail.com</t>
  </si>
  <si>
    <t>Flannigan</t>
  </si>
  <si>
    <t>O.A.M. Flannigan</t>
  </si>
  <si>
    <t>Owen</t>
  </si>
  <si>
    <t>Apollolaan 27</t>
  </si>
  <si>
    <t>7311 EX APELDOORN</t>
  </si>
  <si>
    <t>owen_canada1@live.nl</t>
  </si>
  <si>
    <t>Flapper</t>
  </si>
  <si>
    <t>S.A.J. Flapper</t>
  </si>
  <si>
    <t>Polderstraat 2</t>
  </si>
  <si>
    <t>4714 SW SPRUNDEL</t>
  </si>
  <si>
    <t>stijnf@live.nl</t>
  </si>
  <si>
    <t>D.S. Frank</t>
  </si>
  <si>
    <t>Josephinastraat 16</t>
  </si>
  <si>
    <t>6462 EL KERKRADE</t>
  </si>
  <si>
    <t>dfrank@home.nl</t>
  </si>
  <si>
    <t>Franken</t>
  </si>
  <si>
    <t>M.C. Franken</t>
  </si>
  <si>
    <t>IJsseldijk 287 e</t>
  </si>
  <si>
    <t>2924 AZ KRIMPEN AAN DEN IJSSEL</t>
  </si>
  <si>
    <t>franken@online.nl</t>
  </si>
  <si>
    <t>French</t>
  </si>
  <si>
    <t>S.L. French</t>
  </si>
  <si>
    <t>Shin</t>
  </si>
  <si>
    <t>Koetlaan 40</t>
  </si>
  <si>
    <t>2625 KS DELFT</t>
  </si>
  <si>
    <t>shin_french@hotmail.com</t>
  </si>
  <si>
    <t>Gaag</t>
  </si>
  <si>
    <t>P. van der Gaag</t>
  </si>
  <si>
    <t>Ruitwagen 177</t>
  </si>
  <si>
    <t>3192 DE HOOGVLIET ROTTERDAM</t>
  </si>
  <si>
    <t>ptrgaag@gmail.com</t>
  </si>
  <si>
    <t>Ganani</t>
  </si>
  <si>
    <t>C.S. Ganani</t>
  </si>
  <si>
    <t>Chaggai</t>
  </si>
  <si>
    <t>Oudedijkse Schiekade 92</t>
  </si>
  <si>
    <t>3043 LC ROTTERDAM</t>
  </si>
  <si>
    <t>shmuel.tuinman@gmail.com</t>
  </si>
  <si>
    <t>Ge</t>
  </si>
  <si>
    <t>Z.X. Ge</t>
  </si>
  <si>
    <t>Zhouxin</t>
  </si>
  <si>
    <t>Bolster 14</t>
  </si>
  <si>
    <t>3344 EA HENDRIK-IDO-AMBACHT</t>
  </si>
  <si>
    <t>zhouxinge@live.nl</t>
  </si>
  <si>
    <t>Geel</t>
  </si>
  <si>
    <t>A.J. Geel</t>
  </si>
  <si>
    <t>Arthur</t>
  </si>
  <si>
    <t>Prof. van Bemmelenlaan 43</t>
  </si>
  <si>
    <t>3571 EL UTRECHT</t>
  </si>
  <si>
    <t>arthur_geel@hotmail.com</t>
  </si>
  <si>
    <t>Geelen</t>
  </si>
  <si>
    <t>T.N.J. Geelen</t>
  </si>
  <si>
    <t>Alexanderstraat 7 a</t>
  </si>
  <si>
    <t>9724 JT GRONINGEN</t>
  </si>
  <si>
    <t>talkingtothom503@hotmail.com</t>
  </si>
  <si>
    <t>Gelissen</t>
  </si>
  <si>
    <t>S.M.H. Gelissen</t>
  </si>
  <si>
    <t>stefan</t>
  </si>
  <si>
    <t>E. du Perronlaan 202</t>
  </si>
  <si>
    <t>stefangelissen@msn.com</t>
  </si>
  <si>
    <t>Gerner</t>
  </si>
  <si>
    <t>I.F.W.V. Gerner</t>
  </si>
  <si>
    <t>Ivo</t>
  </si>
  <si>
    <t>Schaphalsterzijl 1</t>
  </si>
  <si>
    <t>9951 TW WINSUM GN</t>
  </si>
  <si>
    <t>ivogernerr@hotmail.com</t>
  </si>
  <si>
    <t>Giezeman</t>
  </si>
  <si>
    <t>D. Giezeman</t>
  </si>
  <si>
    <t>Haagweg 183</t>
  </si>
  <si>
    <t>2281 AK RIJSWIJK ZH</t>
  </si>
  <si>
    <t>dennisgiezeman@gmail.com</t>
  </si>
  <si>
    <t>L.W.G. Giezeman</t>
  </si>
  <si>
    <t>Lucas Giezeman</t>
  </si>
  <si>
    <t>Menno ter Braakhove 11</t>
  </si>
  <si>
    <t>3437 JP NIEUWEGEIN</t>
  </si>
  <si>
    <t>lucas.giezeman@gmail.com</t>
  </si>
  <si>
    <t>Gijsen</t>
  </si>
  <si>
    <t>N. Gijsen</t>
  </si>
  <si>
    <t>Nino</t>
  </si>
  <si>
    <t>Duinmeierij 136</t>
  </si>
  <si>
    <t>2264 LE LEIDSCHENDAM</t>
  </si>
  <si>
    <t>nino_094@hotmail.com</t>
  </si>
  <si>
    <t>Gilst</t>
  </si>
  <si>
    <t>S.W. van Gilst</t>
  </si>
  <si>
    <t>Stefan</t>
  </si>
  <si>
    <t>Oost Kinderdijk 125</t>
  </si>
  <si>
    <t>2953 CK ALBLASSERDAM</t>
  </si>
  <si>
    <t>stefanvangilst@hotmail.com</t>
  </si>
  <si>
    <t>Giltay</t>
  </si>
  <si>
    <t>Zuideindseweg 27</t>
  </si>
  <si>
    <t>2645 BD DELFGAUW</t>
  </si>
  <si>
    <t>jorisgiltay@gmail.com</t>
  </si>
  <si>
    <t>González Esquivel</t>
  </si>
  <si>
    <t>R. González Esquivel</t>
  </si>
  <si>
    <t>Rister</t>
  </si>
  <si>
    <t>Cubaanse</t>
  </si>
  <si>
    <t>Sumatrakade 937</t>
  </si>
  <si>
    <t>1019 RB AMSTERDAM</t>
  </si>
  <si>
    <t>rister.ge@xs4all.nl</t>
  </si>
  <si>
    <t>Grapperhaus</t>
  </si>
  <si>
    <t>J.A. Grapperhaus</t>
  </si>
  <si>
    <t>Oostsingel 83</t>
  </si>
  <si>
    <t>2612 HE DELFT</t>
  </si>
  <si>
    <t>joep@grapperhaus.nl</t>
  </si>
  <si>
    <t>O.C.J. Groot</t>
  </si>
  <si>
    <t>Kerklaan 37</t>
  </si>
  <si>
    <t>4451 BE HEINKENSZAND</t>
  </si>
  <si>
    <t>oliviergroot@live.com</t>
  </si>
  <si>
    <t>S.C.A. de Groot</t>
  </si>
  <si>
    <t>Spoorlaan 5</t>
  </si>
  <si>
    <t>2182 CN HILLEGOM</t>
  </si>
  <si>
    <t>stefgroot@live.nl</t>
  </si>
  <si>
    <t>Gummels</t>
  </si>
  <si>
    <t>C.D.M. Gummels</t>
  </si>
  <si>
    <t>Curtis</t>
  </si>
  <si>
    <t>Korvezeestraat 605</t>
  </si>
  <si>
    <t>2628 CW DELFT</t>
  </si>
  <si>
    <t>curtis_gummels@live.com</t>
  </si>
  <si>
    <t>Gunnink</t>
  </si>
  <si>
    <t>S. Gunnink</t>
  </si>
  <si>
    <t>Sikke</t>
  </si>
  <si>
    <t>Buitensingel 178</t>
  </si>
  <si>
    <t>9883 SM OLDEHOVE</t>
  </si>
  <si>
    <t>sikkegunnink@gmail.com</t>
  </si>
  <si>
    <t>Gunturi</t>
  </si>
  <si>
    <t>I. Gunturi</t>
  </si>
  <si>
    <t>Neel</t>
  </si>
  <si>
    <t>Rouboslaan 2</t>
  </si>
  <si>
    <t>2252 TP VOORSCHOTEN</t>
  </si>
  <si>
    <t>neelgunturi@gmail.com</t>
  </si>
  <si>
    <t>R. Ham</t>
  </si>
  <si>
    <t>Mullensstrook 5</t>
  </si>
  <si>
    <t>2726 VP ZOETERMEER</t>
  </si>
  <si>
    <t>rutgerham@gmail.com</t>
  </si>
  <si>
    <t>Hamberg</t>
  </si>
  <si>
    <t>L.J.G.Q. Hamberg</t>
  </si>
  <si>
    <t>Sassingastins 99</t>
  </si>
  <si>
    <t>8925 JK LEEUWARDEN</t>
  </si>
  <si>
    <t>lars_hamberg@live.nl</t>
  </si>
  <si>
    <t>Hamm</t>
  </si>
  <si>
    <t>J.F.A. Hamm</t>
  </si>
  <si>
    <t>Singel 87</t>
  </si>
  <si>
    <t>3311 PB DORDRECHT</t>
  </si>
  <si>
    <t>julian.hamm@hamm.nu</t>
  </si>
  <si>
    <t>Hammond</t>
  </si>
  <si>
    <t>L.A.L. Hammond</t>
  </si>
  <si>
    <t>Luciano</t>
  </si>
  <si>
    <t>Zuidafrikaanse</t>
  </si>
  <si>
    <t>Mansfeldstr. 9</t>
  </si>
  <si>
    <t>91056 Kriegenbrunn</t>
  </si>
  <si>
    <t>lucianoahammond@gmail.com</t>
  </si>
  <si>
    <t>Harrouni</t>
  </si>
  <si>
    <t>M.C. Harrouni</t>
  </si>
  <si>
    <t>Jan Abelszstraat 45</t>
  </si>
  <si>
    <t>1067 NM AMSTERDAM</t>
  </si>
  <si>
    <t>mo_west_side@hotmail.com</t>
  </si>
  <si>
    <t>Havermans</t>
  </si>
  <si>
    <t>L.R.C. Havermans</t>
  </si>
  <si>
    <t>Leo</t>
  </si>
  <si>
    <t>Schroeder vd Kolkstraat 26</t>
  </si>
  <si>
    <t>2035 XS HAARLEM</t>
  </si>
  <si>
    <t>lrchavermans@gmail.com</t>
  </si>
  <si>
    <t>Heeringa</t>
  </si>
  <si>
    <t>W.M. Heeringa</t>
  </si>
  <si>
    <t>Willem</t>
  </si>
  <si>
    <t>It Pounsmiet 28</t>
  </si>
  <si>
    <t>9014 CK TERSOAL</t>
  </si>
  <si>
    <t>willemmathijs@msn.com</t>
  </si>
  <si>
    <t>Hengel</t>
  </si>
  <si>
    <t>T.J. van Hengel</t>
  </si>
  <si>
    <t>Lijsterbeswede 5</t>
  </si>
  <si>
    <t>2993 GA BARENDRECHT</t>
  </si>
  <si>
    <t>thomas.j_1994@hotmail.com</t>
  </si>
  <si>
    <t>Herlaar</t>
  </si>
  <si>
    <t>D.J.C. Herlaar</t>
  </si>
  <si>
    <t>Seringweg 33</t>
  </si>
  <si>
    <t>3852 GP ERMELO</t>
  </si>
  <si>
    <t>david_herlaar@hotmail.com</t>
  </si>
  <si>
    <t>Herpen</t>
  </si>
  <si>
    <t>W.J. van Herpen</t>
  </si>
  <si>
    <t>Ward</t>
  </si>
  <si>
    <t>Vrachelshofje 2</t>
  </si>
  <si>
    <t>4904 TG OOSTERHOUT NB</t>
  </si>
  <si>
    <t>wardvanherpen@gmail.com</t>
  </si>
  <si>
    <t>Hezer</t>
  </si>
  <si>
    <t>B. Hezer</t>
  </si>
  <si>
    <t>Bartu</t>
  </si>
  <si>
    <t>Monseigneur Poelsplein 64</t>
  </si>
  <si>
    <t>6221 ST MAASTRICHT</t>
  </si>
  <si>
    <t>bartu94@hotmail.com</t>
  </si>
  <si>
    <t>B.J. Hoek</t>
  </si>
  <si>
    <t>Ramsbeekweg 74</t>
  </si>
  <si>
    <t>7152 KS EIBERGEN</t>
  </si>
  <si>
    <t>hoek14179@gmail.com</t>
  </si>
  <si>
    <t>Holder</t>
  </si>
  <si>
    <t>R.A. Holder</t>
  </si>
  <si>
    <t>Randy</t>
  </si>
  <si>
    <t>Kaminda Seruwaterloo 118</t>
  </si>
  <si>
    <t>holder2001@hotmail.com</t>
  </si>
  <si>
    <t>Hooft</t>
  </si>
  <si>
    <t>F.M. Hooft</t>
  </si>
  <si>
    <t>Lage Kanaaldijk 8 A</t>
  </si>
  <si>
    <t>6212 AE MAASTRICHT</t>
  </si>
  <si>
    <t>floris.hooft@xs4all.nl</t>
  </si>
  <si>
    <t>Hoorn</t>
  </si>
  <si>
    <t>M.A. Hoorn</t>
  </si>
  <si>
    <t>Bergkristal 7</t>
  </si>
  <si>
    <t>2719 TL ZOETERMEER</t>
  </si>
  <si>
    <t>markhoorn@live.nl</t>
  </si>
  <si>
    <t>P.E.J. van Hoorn</t>
  </si>
  <si>
    <t>Oud Wassenaarseweg 17</t>
  </si>
  <si>
    <t>2243 BT WASSENAAR</t>
  </si>
  <si>
    <t>flipvanhoorn@gmail.com</t>
  </si>
  <si>
    <t>Huijing</t>
  </si>
  <si>
    <t>J.P. Huijing</t>
  </si>
  <si>
    <t>Graaf Willem de Oudelaan 73</t>
  </si>
  <si>
    <t>1412 AP NAARDEN</t>
  </si>
  <si>
    <t>jasper.huijing@gmail.com</t>
  </si>
  <si>
    <t>Huijser</t>
  </si>
  <si>
    <t>G.A. Huijser</t>
  </si>
  <si>
    <t>Paxlaan 13</t>
  </si>
  <si>
    <t>2613 GC DELFT</t>
  </si>
  <si>
    <t>govertarrienhuijser@hotmail.com</t>
  </si>
  <si>
    <t>E.A.L. Huisman</t>
  </si>
  <si>
    <t>Eriki</t>
  </si>
  <si>
    <t>Seringenstraat 12</t>
  </si>
  <si>
    <t>2681 EM MONSTER</t>
  </si>
  <si>
    <t>erikio@hotmail.com</t>
  </si>
  <si>
    <t>Hultermans</t>
  </si>
  <si>
    <t>T.D.J.M. Hultermans</t>
  </si>
  <si>
    <t>Munnekeburenstraat 5</t>
  </si>
  <si>
    <t>5045 DS TILBURG</t>
  </si>
  <si>
    <t>thomas.hultermans@live.nl</t>
  </si>
  <si>
    <t>Hus</t>
  </si>
  <si>
    <t>J.V.F. Hus</t>
  </si>
  <si>
    <t>Van der Burchlaan 36</t>
  </si>
  <si>
    <t>2597 PE 'S-GRAVENHAGE</t>
  </si>
  <si>
    <t>vin-only@live.nl</t>
  </si>
  <si>
    <t>Husic</t>
  </si>
  <si>
    <t>A. Husic</t>
  </si>
  <si>
    <t>Ajdin</t>
  </si>
  <si>
    <t>Eksterlaan 594</t>
  </si>
  <si>
    <t>3136 SP VLAARDINGEN</t>
  </si>
  <si>
    <t>ajdin@live.nl</t>
  </si>
  <si>
    <t>Idema</t>
  </si>
  <si>
    <t>J. Idema</t>
  </si>
  <si>
    <t>Blankertlaan 2</t>
  </si>
  <si>
    <t>1911 SK UITGEEST</t>
  </si>
  <si>
    <t>idema.jens@gmail.com</t>
  </si>
  <si>
    <t>Isik</t>
  </si>
  <si>
    <t>R. Isik</t>
  </si>
  <si>
    <t>Wintertaling 3</t>
  </si>
  <si>
    <t>6601 DZ WIJCHEN</t>
  </si>
  <si>
    <t>robert_isik2@hotmail.com</t>
  </si>
  <si>
    <t>James</t>
  </si>
  <si>
    <t>A.G. James</t>
  </si>
  <si>
    <t>Angelo</t>
  </si>
  <si>
    <t>Bernhardstraat 11</t>
  </si>
  <si>
    <t>3181 GB ROZENBURG ZH</t>
  </si>
  <si>
    <t>jamesangelo11@hotmail.com</t>
  </si>
  <si>
    <t>Janno Hessel Hutabarat</t>
  </si>
  <si>
    <t>.. Janno Hessel Hutabarat</t>
  </si>
  <si>
    <t>Janno</t>
  </si>
  <si>
    <t>Jl. Sentosa Raya  B37/4</t>
  </si>
  <si>
    <t>14240 Jakarta Utara</t>
  </si>
  <si>
    <t>Indonesië</t>
  </si>
  <si>
    <t>janno_hessel@hotmail.com</t>
  </si>
  <si>
    <t>M.A. Jansen</t>
  </si>
  <si>
    <t>Pruimenlaan 2</t>
  </si>
  <si>
    <t>2691 JR 'S-GRAVENZANDE</t>
  </si>
  <si>
    <t>familie.jansen@caiway.nl</t>
  </si>
  <si>
    <t>Jarmohamed</t>
  </si>
  <si>
    <t>R.C. Jarmohamed</t>
  </si>
  <si>
    <t>Rashad</t>
  </si>
  <si>
    <t>Korte Bajonetstraat 60</t>
  </si>
  <si>
    <t>3014 ZS ROTTERDAM</t>
  </si>
  <si>
    <t>rashad_j@hotmail.com</t>
  </si>
  <si>
    <t>D.B. de Jong</t>
  </si>
  <si>
    <t>Colosseum 49</t>
  </si>
  <si>
    <t>6661 MA ELST GLD</t>
  </si>
  <si>
    <t>daviddejong@me.com</t>
  </si>
  <si>
    <t>Joon</t>
  </si>
  <si>
    <t>P.J.A. Joon</t>
  </si>
  <si>
    <t>Borchsatelaan 56</t>
  </si>
  <si>
    <t>3055 ZL ROTTERDAM</t>
  </si>
  <si>
    <t>peet_joon@hotmail.com</t>
  </si>
  <si>
    <t>Kalkhoven</t>
  </si>
  <si>
    <t>T. Kalkhoven</t>
  </si>
  <si>
    <t>Sadatweg 71</t>
  </si>
  <si>
    <t>2622 PB DELFT</t>
  </si>
  <si>
    <t>tomkalkhoven@hotmail.com</t>
  </si>
  <si>
    <t>A.W. Kamp</t>
  </si>
  <si>
    <t>Wali</t>
  </si>
  <si>
    <t>Balboa Avenue 60</t>
  </si>
  <si>
    <t>94901 San Rafael</t>
  </si>
  <si>
    <t>kamp.wali@gmail.com</t>
  </si>
  <si>
    <t>Klokgieters</t>
  </si>
  <si>
    <t>A.G.C. Klokgieters</t>
  </si>
  <si>
    <t>Aernout</t>
  </si>
  <si>
    <t>Bronkhorststraat 20</t>
  </si>
  <si>
    <t>7555 MK HENGELO OV</t>
  </si>
  <si>
    <t>aer_klok@hotmail.com</t>
  </si>
  <si>
    <t>S.R. van der Kolff</t>
  </si>
  <si>
    <t>Flierveld 17</t>
  </si>
  <si>
    <t>2151 LE NIEUW-VENNEP</t>
  </si>
  <si>
    <t>stephan_55555@hotmail.com</t>
  </si>
  <si>
    <t>Konovalov</t>
  </si>
  <si>
    <t>I.M. Konovalov</t>
  </si>
  <si>
    <t>Noordeinde 31</t>
  </si>
  <si>
    <t>2611 KG DELFT</t>
  </si>
  <si>
    <t>igorkonovalov@hotmail.com</t>
  </si>
  <si>
    <t>Kootte</t>
  </si>
  <si>
    <t>L.J. Kootte</t>
  </si>
  <si>
    <t>Nieuwe Boschstraat 26</t>
  </si>
  <si>
    <t>4811 CX BREDA</t>
  </si>
  <si>
    <t>luckootte@gmail.com</t>
  </si>
  <si>
    <t>T.S. Koster</t>
  </si>
  <si>
    <t>Kastanjestraat 32</t>
  </si>
  <si>
    <t>2023 TG HAARLEM</t>
  </si>
  <si>
    <t>timokoster1@gmail.com</t>
  </si>
  <si>
    <t>Kroes</t>
  </si>
  <si>
    <t>T.C. Kroes</t>
  </si>
  <si>
    <t>Bastionstraat 38</t>
  </si>
  <si>
    <t>4571 ET AXEL</t>
  </si>
  <si>
    <t>thomas.kroes@hetnet.nl</t>
  </si>
  <si>
    <t>Laake</t>
  </si>
  <si>
    <t>D. van Laake</t>
  </si>
  <si>
    <t>Blekerstraat 51</t>
  </si>
  <si>
    <t>7513 DR ENSCHEDE</t>
  </si>
  <si>
    <t>daniel.vanlaake@gmail.com</t>
  </si>
  <si>
    <t>N. van der Laan</t>
  </si>
  <si>
    <t>Leidseweg 394</t>
  </si>
  <si>
    <t>2253 JP VOORSCHOTEN</t>
  </si>
  <si>
    <t>niek_da_beest@live.nl</t>
  </si>
  <si>
    <t>dirr</t>
  </si>
  <si>
    <t>Galjoen 18</t>
  </si>
  <si>
    <t>3904 SG VEENENDAAL</t>
  </si>
  <si>
    <t>vdlaan.niels@gmail.com</t>
  </si>
  <si>
    <t>Lambriex</t>
  </si>
  <si>
    <t>H.F.E.M. Lambriex</t>
  </si>
  <si>
    <t>Hugo Lambriex</t>
  </si>
  <si>
    <t>Meikers 4</t>
  </si>
  <si>
    <t>6662 VL ELST GLD</t>
  </si>
  <si>
    <t>h.lambriex@hotmail.com</t>
  </si>
  <si>
    <t>Lange</t>
  </si>
  <si>
    <t>R.D. de Lange</t>
  </si>
  <si>
    <t>Rudy de Lange</t>
  </si>
  <si>
    <t>Zuidzijde 85</t>
  </si>
  <si>
    <t>2411 RV BODEGRAVEN</t>
  </si>
  <si>
    <t>rudelange@hotmail.nl</t>
  </si>
  <si>
    <t>Leemans</t>
  </si>
  <si>
    <t>A.J.A. Leemans</t>
  </si>
  <si>
    <t>Anfernee</t>
  </si>
  <si>
    <t>Baronielaan 119</t>
  </si>
  <si>
    <t>4818 PD BREDA</t>
  </si>
  <si>
    <t>anf_leemans@hotmail.com</t>
  </si>
  <si>
    <t>Li</t>
  </si>
  <si>
    <t>H.L. Li</t>
  </si>
  <si>
    <t>Hai Long</t>
  </si>
  <si>
    <t>de Voorstenkamp 1717</t>
  </si>
  <si>
    <t>6545 GK NIJMEGEN</t>
  </si>
  <si>
    <t>hailong_li1991@hotmail.com</t>
  </si>
  <si>
    <t>Lie</t>
  </si>
  <si>
    <t>S.S.J.M. Lie</t>
  </si>
  <si>
    <t>Jeremy</t>
  </si>
  <si>
    <t>Tiendweg 5</t>
  </si>
  <si>
    <t>2671 SB NAALDWIJK</t>
  </si>
  <si>
    <t>jeremy_lie@hotmail.com</t>
  </si>
  <si>
    <t>Liebrand</t>
  </si>
  <si>
    <t>R.H.A.A. Liebrand</t>
  </si>
  <si>
    <t>Watermolenweg 10</t>
  </si>
  <si>
    <t>5688 KR OIRSCHOT</t>
  </si>
  <si>
    <t>j.liebrand@chello.nl</t>
  </si>
  <si>
    <t>Linskens</t>
  </si>
  <si>
    <t>C.E. Linskens</t>
  </si>
  <si>
    <t>Pastoor Savenijelaan 19</t>
  </si>
  <si>
    <t>6678 BK OOSTERHOUT GLD</t>
  </si>
  <si>
    <t>coenlinskens@live.nl</t>
  </si>
  <si>
    <t>Litsenburg</t>
  </si>
  <si>
    <t>L. van Litsenburg</t>
  </si>
  <si>
    <t>Schiedamseweg 151</t>
  </si>
  <si>
    <t>3134 BH VLAARDINGEN</t>
  </si>
  <si>
    <t>luuklits@hotmail.com</t>
  </si>
  <si>
    <t>Lodder</t>
  </si>
  <si>
    <t>E. Lodder</t>
  </si>
  <si>
    <t>Torontolaan 20</t>
  </si>
  <si>
    <t>4631 TB HOOGERHEIDE</t>
  </si>
  <si>
    <t>erwin.lodder@kpnplanet.nl</t>
  </si>
  <si>
    <t>Lohuis</t>
  </si>
  <si>
    <t>R.G. Lohuis</t>
  </si>
  <si>
    <t>Vogelsant 61</t>
  </si>
  <si>
    <t>8303 ZP EMMELOORD</t>
  </si>
  <si>
    <t>ruben.lohuis@solcon.nl</t>
  </si>
  <si>
    <t>Maanen</t>
  </si>
  <si>
    <t>J. van Maanen</t>
  </si>
  <si>
    <t>Jeffrey</t>
  </si>
  <si>
    <t>Roodborst 23</t>
  </si>
  <si>
    <t>3299 BW MAASDAM</t>
  </si>
  <si>
    <t>jeffrey_vanmaanen@live.nl</t>
  </si>
  <si>
    <t>Marchand</t>
  </si>
  <si>
    <t>T.A. Marchand</t>
  </si>
  <si>
    <t>Toto</t>
  </si>
  <si>
    <t>Eduard Du Perronplein 1</t>
  </si>
  <si>
    <t>4207 PS GORINCHEM</t>
  </si>
  <si>
    <t>toto.marchand@hccnet.nl</t>
  </si>
  <si>
    <t>Marcus</t>
  </si>
  <si>
    <t>R.M.A. Marcus</t>
  </si>
  <si>
    <t>Costa Ricastraat 147</t>
  </si>
  <si>
    <t>2408 MK ALPHEN AAN DEN RIJN</t>
  </si>
  <si>
    <t>m.a.m.marcus@ziggo.nl</t>
  </si>
  <si>
    <t>Marselje</t>
  </si>
  <si>
    <t>W.D. Marselje</t>
  </si>
  <si>
    <t>Vlierwede 18</t>
  </si>
  <si>
    <t>2993 GK BARENDRECHT</t>
  </si>
  <si>
    <t>wouter_marselje@hotmail.com</t>
  </si>
  <si>
    <t>Maten</t>
  </si>
  <si>
    <t>J.T. van der Maten</t>
  </si>
  <si>
    <t>Kerkdijk 8</t>
  </si>
  <si>
    <t>8181 RP HEERDE</t>
  </si>
  <si>
    <t>johanvandermaten@hotmail.com</t>
  </si>
  <si>
    <t>Meijjer</t>
  </si>
  <si>
    <t>C.J. Meijjer</t>
  </si>
  <si>
    <t>Clemens</t>
  </si>
  <si>
    <t>Karveelstraat 5</t>
  </si>
  <si>
    <t>1335 SN ALMERE</t>
  </si>
  <si>
    <t>clemensmeijjer@hotmail.com</t>
  </si>
  <si>
    <t>Meuser</t>
  </si>
  <si>
    <t>S. Meuser</t>
  </si>
  <si>
    <t>Hoge Bokstraat 39</t>
  </si>
  <si>
    <t>9111 Belsele</t>
  </si>
  <si>
    <t>stan_johnny@hotmail.com</t>
  </si>
  <si>
    <t>Mizrahi</t>
  </si>
  <si>
    <t>D. Mizrahi</t>
  </si>
  <si>
    <t>Postjesweg 54 3</t>
  </si>
  <si>
    <t>1057 EC AMSTERDAM</t>
  </si>
  <si>
    <t>dmizrahi@live.nl</t>
  </si>
  <si>
    <t>Mohamed Soliman Mohamed Soliman Farghaly</t>
  </si>
  <si>
    <t>. Mohamed Soliman Mohamed Soliman Farghaly</t>
  </si>
  <si>
    <t>Egyptische</t>
  </si>
  <si>
    <t>Lohuis 57</t>
  </si>
  <si>
    <t>1025 CM AMSTERDAM</t>
  </si>
  <si>
    <t>try_untill_you_die@yahoo.com</t>
  </si>
  <si>
    <t>Molai</t>
  </si>
  <si>
    <t>R.M.S. Molai</t>
  </si>
  <si>
    <t>Vaillantlaan 24 A</t>
  </si>
  <si>
    <t>2526 HL 'S-GRAVENHAGE</t>
  </si>
  <si>
    <t>raoul-m@hotmail.com</t>
  </si>
  <si>
    <t>S.C. Molenaar</t>
  </si>
  <si>
    <t>Gerolaan 63</t>
  </si>
  <si>
    <t>3707 SH ZEIST</t>
  </si>
  <si>
    <t>sjoerdmolenaar@planet.nl</t>
  </si>
  <si>
    <t>Mooij</t>
  </si>
  <si>
    <t>J.M. de Mooij</t>
  </si>
  <si>
    <t>Hoofdstraat 8</t>
  </si>
  <si>
    <t>6333 BJ SCHIMMERT</t>
  </si>
  <si>
    <t>jasperdemooy@home.nl</t>
  </si>
  <si>
    <t>T. van Mourik</t>
  </si>
  <si>
    <t>Nieuwendijk 35</t>
  </si>
  <si>
    <t>3443 BH WOERDEN</t>
  </si>
  <si>
    <t>thijs.psv@hotmail.com</t>
  </si>
  <si>
    <t>Muijnck</t>
  </si>
  <si>
    <t>T.M. de Muijnck</t>
  </si>
  <si>
    <t>Schimmelpenninckstraat 22</t>
  </si>
  <si>
    <t>3332 HX ZWIJNDRECHT</t>
  </si>
  <si>
    <t>clowntjetom@hotmail.com</t>
  </si>
  <si>
    <t>S.B. Mulder</t>
  </si>
  <si>
    <t>Herman Gorterhof 135</t>
  </si>
  <si>
    <t>2624 XK DELFT</t>
  </si>
  <si>
    <t>smvg@live.nl</t>
  </si>
  <si>
    <t>Neerbos</t>
  </si>
  <si>
    <t>T.J.D. van Neerbos</t>
  </si>
  <si>
    <t>Hongarenburg 129</t>
  </si>
  <si>
    <t>2591 VK 'S-GRAVENHAGE</t>
  </si>
  <si>
    <t>mejetoko@kpnplanet.nl</t>
  </si>
  <si>
    <t>Nguyen</t>
  </si>
  <si>
    <t>P.H. Nguyen</t>
  </si>
  <si>
    <t>Hoang</t>
  </si>
  <si>
    <t>Suikerberk 15</t>
  </si>
  <si>
    <t>4881 XH ZUNDERT</t>
  </si>
  <si>
    <t>hoang19@live.nl</t>
  </si>
  <si>
    <t>Niemeijer</t>
  </si>
  <si>
    <t>J.A. Niemeijer</t>
  </si>
  <si>
    <t>Hogeweg 11</t>
  </si>
  <si>
    <t>7315 CE APELDOORN</t>
  </si>
  <si>
    <t>joostniemeijer@hotmail.nl</t>
  </si>
  <si>
    <t>D.C. Nijdam</t>
  </si>
  <si>
    <t>Nic</t>
  </si>
  <si>
    <t>Koepoortsweg 133</t>
  </si>
  <si>
    <t>1624 AD HOORN NH</t>
  </si>
  <si>
    <t>ivorenolifant@hotmail.com</t>
  </si>
  <si>
    <t>Notebaart</t>
  </si>
  <si>
    <t>R. Notebaart</t>
  </si>
  <si>
    <t>Prinsenlaan 1</t>
  </si>
  <si>
    <t>4336 HH MIDDELBURG</t>
  </si>
  <si>
    <t>rubenn@zeelandnet.nl</t>
  </si>
  <si>
    <t>O'Callaghan De Jonghe</t>
  </si>
  <si>
    <t>V.E. O'Callaghan De Jonghe</t>
  </si>
  <si>
    <t>Swalm 18</t>
  </si>
  <si>
    <t>5032 EL TILBURG</t>
  </si>
  <si>
    <t>victor_ocallaghan@hotmail.com</t>
  </si>
  <si>
    <t>Oldenzeel</t>
  </si>
  <si>
    <t>L.P. Oldenzeel</t>
  </si>
  <si>
    <t>De Gamert 2409</t>
  </si>
  <si>
    <t>6605 WH WIJCHEN</t>
  </si>
  <si>
    <t>laurens_oldenzeel@hotmail.com</t>
  </si>
  <si>
    <t>Onnink</t>
  </si>
  <si>
    <t>Y.L. Onnink</t>
  </si>
  <si>
    <t>Yves</t>
  </si>
  <si>
    <t>Zuid Schalkwijkerweg 44</t>
  </si>
  <si>
    <t>2034 JH HAARLEM</t>
  </si>
  <si>
    <t>yves@pryxe.com</t>
  </si>
  <si>
    <t>Onrust</t>
  </si>
  <si>
    <t>M.J. Onrust</t>
  </si>
  <si>
    <t>Tolgaarderserf 62</t>
  </si>
  <si>
    <t>3991 KC HOUTEN</t>
  </si>
  <si>
    <t>menno.onrust@live.nl</t>
  </si>
  <si>
    <t>M.C.Q. van Os</t>
  </si>
  <si>
    <t>Zijlweg 4</t>
  </si>
  <si>
    <t>2678 LC DE LIER</t>
  </si>
  <si>
    <t>mikeos0174@gmail.com</t>
  </si>
  <si>
    <t>Peuling</t>
  </si>
  <si>
    <t>J. Peuling</t>
  </si>
  <si>
    <t>Westvlietweg 10 112</t>
  </si>
  <si>
    <t>2491 EA 'S-GRAVENHAGE</t>
  </si>
  <si>
    <t>prevost0@hotmail.com</t>
  </si>
  <si>
    <t>E. Pieter</t>
  </si>
  <si>
    <t>Oude Water C 28</t>
  </si>
  <si>
    <t>die_langeguy@hotmail.com</t>
  </si>
  <si>
    <t>Pieters</t>
  </si>
  <si>
    <t>M.A. Pieters</t>
  </si>
  <si>
    <t>Platte Akker 157</t>
  </si>
  <si>
    <t>4847 KP TETERINGEN</t>
  </si>
  <si>
    <t>marcdepiloot@hotmail.com</t>
  </si>
  <si>
    <t>Pijnenburg</t>
  </si>
  <si>
    <t>K.H. Pijnenburg</t>
  </si>
  <si>
    <t>Kees Pijnenburg</t>
  </si>
  <si>
    <t>Herenweg 18</t>
  </si>
  <si>
    <t>3645 DP VINKEVEEN</t>
  </si>
  <si>
    <t>kees.pijnenburg@me.com</t>
  </si>
  <si>
    <t>Pinson</t>
  </si>
  <si>
    <t>P. Pinson</t>
  </si>
  <si>
    <t>Binderstraat 26</t>
  </si>
  <si>
    <t>2151 BK NIEUW-VENNEP</t>
  </si>
  <si>
    <t>voetbal_pieter_p@hotmail.com</t>
  </si>
  <si>
    <t>R.D. van der Plas</t>
  </si>
  <si>
    <t>Groote Kreek 50</t>
  </si>
  <si>
    <t>3823 JB AMERSFOORT</t>
  </si>
  <si>
    <t>robin-dean@hotmail.com</t>
  </si>
  <si>
    <t>Poerwoatmodjo</t>
  </si>
  <si>
    <t>A.C. Poerwoatmodjo</t>
  </si>
  <si>
    <t>Anthony</t>
  </si>
  <si>
    <t>Mississippistraat 55</t>
  </si>
  <si>
    <t>1448 XC PURMEREND</t>
  </si>
  <si>
    <t>anthonypoerwo@hotmail.com</t>
  </si>
  <si>
    <t>Pol</t>
  </si>
  <si>
    <t>R.A. van der Pol</t>
  </si>
  <si>
    <t>Reinier</t>
  </si>
  <si>
    <t>Twijnerstraat 57</t>
  </si>
  <si>
    <t>7481 KL HAAKSBERGEN</t>
  </si>
  <si>
    <t>reiniervdpol@hotmail.com</t>
  </si>
  <si>
    <t>Pouwels</t>
  </si>
  <si>
    <t>M.C. Pouwels</t>
  </si>
  <si>
    <t>Almeerderhout 2</t>
  </si>
  <si>
    <t>3823 CK AMERSFOORT</t>
  </si>
  <si>
    <t>kiteman88@hotmail.com</t>
  </si>
  <si>
    <t>Quirijns</t>
  </si>
  <si>
    <t>S. Quirijns</t>
  </si>
  <si>
    <t>Rooseveltlaan 56</t>
  </si>
  <si>
    <t>2625 GP DELFT</t>
  </si>
  <si>
    <t>sander.quirijns@xs4all.nl</t>
  </si>
  <si>
    <t>Rademakers</t>
  </si>
  <si>
    <t>Q.A.H. Rademakers</t>
  </si>
  <si>
    <t>Wilhelminalaan 32</t>
  </si>
  <si>
    <t>2281 EH RIJSWIJK ZH</t>
  </si>
  <si>
    <t>coolquinten@gmail.com</t>
  </si>
  <si>
    <t>Rahimi</t>
  </si>
  <si>
    <t>P. Rahimi</t>
  </si>
  <si>
    <t>Pedram</t>
  </si>
  <si>
    <t>Maaslaan 185</t>
  </si>
  <si>
    <t>5704 LD HELMOND</t>
  </si>
  <si>
    <t>p_edram@hotmail.com</t>
  </si>
  <si>
    <t>Reijnders</t>
  </si>
  <si>
    <t>G.T. Reijnders</t>
  </si>
  <si>
    <t>Heemsteedse Dreef 265</t>
  </si>
  <si>
    <t>2101 KH HEEMSTEDE</t>
  </si>
  <si>
    <t>g.thijsreijnders@gmail.com</t>
  </si>
  <si>
    <t>Riebeek</t>
  </si>
  <si>
    <t>M. Riebeek</t>
  </si>
  <si>
    <t>Van Abbestraat 102</t>
  </si>
  <si>
    <t>1064 WV AMSTERDAM</t>
  </si>
  <si>
    <t>marc_riebeek@hotmail.com</t>
  </si>
  <si>
    <t>Rijke</t>
  </si>
  <si>
    <t>K. de Rijke</t>
  </si>
  <si>
    <t>Meppelerweg 90</t>
  </si>
  <si>
    <t>8331 CZ STEENWIJK</t>
  </si>
  <si>
    <t>kevin.de.rijke@gmail.com</t>
  </si>
  <si>
    <t>Rijkers</t>
  </si>
  <si>
    <t>T.J. Rijkers</t>
  </si>
  <si>
    <t>Alexander Bellstraat 54</t>
  </si>
  <si>
    <t>1972 RC IJMUIDEN</t>
  </si>
  <si>
    <t>tim_rijkers@hotmail.com</t>
  </si>
  <si>
    <t>Roël</t>
  </si>
  <si>
    <t>F. Roël</t>
  </si>
  <si>
    <t>Valkenboskade 183</t>
  </si>
  <si>
    <t>2563 HA 'S-GRAVENHAGE</t>
  </si>
  <si>
    <t>felix.xilef1995@gmail.com</t>
  </si>
  <si>
    <t>Roozenburg</t>
  </si>
  <si>
    <t>D. Roozenburg</t>
  </si>
  <si>
    <t>Mimi Boesnachstraat 28</t>
  </si>
  <si>
    <t>3207 VJ SPIJKENISSE</t>
  </si>
  <si>
    <t>524431@student.inholland.nl</t>
  </si>
  <si>
    <t>Rosenboom</t>
  </si>
  <si>
    <t>E.B. Rosenboom</t>
  </si>
  <si>
    <t>Everdonk 11</t>
  </si>
  <si>
    <t>4942 CM RAAMSDONKSVEER</t>
  </si>
  <si>
    <t>basrosenboom@hotmail.com</t>
  </si>
  <si>
    <t>Rossem</t>
  </si>
  <si>
    <t>K.J. van Rossem</t>
  </si>
  <si>
    <t>Tromplaan 3</t>
  </si>
  <si>
    <t>3742 AA BAARN</t>
  </si>
  <si>
    <t>jorisvrossem@hotmail.com</t>
  </si>
  <si>
    <t>Roth</t>
  </si>
  <si>
    <t>C.B. Roth</t>
  </si>
  <si>
    <t>Caspar</t>
  </si>
  <si>
    <t>Bachrode 5</t>
  </si>
  <si>
    <t>2717 AL ZOETERMEER</t>
  </si>
  <si>
    <t>casparroth1994@gmail.com</t>
  </si>
  <si>
    <t>Ruesen</t>
  </si>
  <si>
    <t>J.J. Ruesen</t>
  </si>
  <si>
    <t>Hofmark 55</t>
  </si>
  <si>
    <t>1355 HE ALMERE</t>
  </si>
  <si>
    <t>ruesen.joel@gmail.com</t>
  </si>
  <si>
    <t>Saâïd</t>
  </si>
  <si>
    <t>H. Saâïd</t>
  </si>
  <si>
    <t>Haroun</t>
  </si>
  <si>
    <t>Raadhuisstraat 432</t>
  </si>
  <si>
    <t>2406 LE ALPHEN AAN DEN RIJN</t>
  </si>
  <si>
    <t>h.saaid@hotmail.nl</t>
  </si>
  <si>
    <t>Sabir</t>
  </si>
  <si>
    <t>O. Sabir</t>
  </si>
  <si>
    <t>Othman</t>
  </si>
  <si>
    <t>Samuel Esmeijerstraat 67</t>
  </si>
  <si>
    <t>3132 AL VLAARDINGEN</t>
  </si>
  <si>
    <t>otman_zidane@hotmail.com</t>
  </si>
  <si>
    <t>Sahin</t>
  </si>
  <si>
    <t>A. Sahin</t>
  </si>
  <si>
    <t>Ahmet</t>
  </si>
  <si>
    <t>Nicolaas Beetsstraat 31 a</t>
  </si>
  <si>
    <t>3117 SM SCHIEDAM</t>
  </si>
  <si>
    <t>25ahmet@live.nl</t>
  </si>
  <si>
    <t>Scheer</t>
  </si>
  <si>
    <t>B.H. van der Scheer</t>
  </si>
  <si>
    <t>Bor</t>
  </si>
  <si>
    <t>Kerkpad ZZ 39</t>
  </si>
  <si>
    <t>3764 AM SOEST</t>
  </si>
  <si>
    <t>bor_scheer@live.nl</t>
  </si>
  <si>
    <t>D.P. Scheffers</t>
  </si>
  <si>
    <t>Dominic</t>
  </si>
  <si>
    <t>Joke Smit-erf 54</t>
  </si>
  <si>
    <t>3315 VB DORDRECHT</t>
  </si>
  <si>
    <t>dominic.scheffers@gmail.com</t>
  </si>
  <si>
    <t>Schipper</t>
  </si>
  <si>
    <t>S.F. Schipper</t>
  </si>
  <si>
    <t>Klaverkamp 10</t>
  </si>
  <si>
    <t>4133 TJ VIANEN UT</t>
  </si>
  <si>
    <t>semie0012@hotmail.com</t>
  </si>
  <si>
    <t>Scholle</t>
  </si>
  <si>
    <t>F.P. Scholle</t>
  </si>
  <si>
    <t>Rustenburgstraat 13</t>
  </si>
  <si>
    <t>6241 DE BUNDE</t>
  </si>
  <si>
    <t>florisscholle@planet.nl</t>
  </si>
  <si>
    <t>Schouten</t>
  </si>
  <si>
    <t>T.C. Schouten</t>
  </si>
  <si>
    <t>Botter 9</t>
  </si>
  <si>
    <t>4617 GC BERGEN OP ZOOM</t>
  </si>
  <si>
    <t>schoutentom@home.nl</t>
  </si>
  <si>
    <t>J. Schouten</t>
  </si>
  <si>
    <t>Touwbaan 73</t>
  </si>
  <si>
    <t>3134 ME VLAARDINGEN</t>
  </si>
  <si>
    <t>job.job@live.nl</t>
  </si>
  <si>
    <t>Sedee</t>
  </si>
  <si>
    <t>G.A. Sedee</t>
  </si>
  <si>
    <t>Sportveldweg 46</t>
  </si>
  <si>
    <t>2151 CD NIEUW-VENNEP</t>
  </si>
  <si>
    <t>sandersedee@hotmail.com</t>
  </si>
  <si>
    <t>Siemonsma</t>
  </si>
  <si>
    <t>K. Siemonsma</t>
  </si>
  <si>
    <t>Rietschar 21</t>
  </si>
  <si>
    <t>8607 KJ SNEEK</t>
  </si>
  <si>
    <t>kevin.siemonsma@kpnplanet.nl</t>
  </si>
  <si>
    <t>Slangen</t>
  </si>
  <si>
    <t>B. Slangen</t>
  </si>
  <si>
    <t>'s-Gravensloot 30</t>
  </si>
  <si>
    <t>3471 BN KAMERIK</t>
  </si>
  <si>
    <t>bramslangen1@hotmail.com</t>
  </si>
  <si>
    <t>Soest</t>
  </si>
  <si>
    <t>D.A.F. van Soest</t>
  </si>
  <si>
    <t>Hofvliet 11</t>
  </si>
  <si>
    <t>2251 TH VOORSCHOTEN</t>
  </si>
  <si>
    <t>dafvansoest@gmail.com</t>
  </si>
  <si>
    <t>Sonneveld</t>
  </si>
  <si>
    <t>D. Sonneveld</t>
  </si>
  <si>
    <t>Engelbrechtweg 478</t>
  </si>
  <si>
    <t>3065 SR ROTTERDAM</t>
  </si>
  <si>
    <t>didisonneveld@hotmail.com</t>
  </si>
  <si>
    <t>J.S. Sonneveld</t>
  </si>
  <si>
    <t>Jente</t>
  </si>
  <si>
    <t>Bladmos 38</t>
  </si>
  <si>
    <t>3994 KX HOUTEN</t>
  </si>
  <si>
    <t>j.sonneveld_95@hotmail.com</t>
  </si>
  <si>
    <t>Soukkari</t>
  </si>
  <si>
    <t>S. Soukkari</t>
  </si>
  <si>
    <t>Sanad</t>
  </si>
  <si>
    <t>Hildebranddreef 43</t>
  </si>
  <si>
    <t>3561 VD UTRECHT</t>
  </si>
  <si>
    <t>s-amrani@hotmail.com</t>
  </si>
  <si>
    <t>Spaans</t>
  </si>
  <si>
    <t>D.W.A. Spaans</t>
  </si>
  <si>
    <t>Helmstraat 28</t>
  </si>
  <si>
    <t>2584 AT 'S-GRAVENHAGE</t>
  </si>
  <si>
    <t>diederik_spaans@hotmail.com</t>
  </si>
  <si>
    <t>Speijer</t>
  </si>
  <si>
    <t>E. Speijer</t>
  </si>
  <si>
    <t>Ethan</t>
  </si>
  <si>
    <t>Strandwijck 24</t>
  </si>
  <si>
    <t>2202 BV NOORDWIJK ZH</t>
  </si>
  <si>
    <t>ethanspeijer2010@gmail.com</t>
  </si>
  <si>
    <t>M.H.M. Stolk</t>
  </si>
  <si>
    <t>Dijkweg 133</t>
  </si>
  <si>
    <t>2675 AD HONSELERSDIJK</t>
  </si>
  <si>
    <t>martijnstolk1@gmail.com</t>
  </si>
  <si>
    <t>Tadzjibov</t>
  </si>
  <si>
    <t>K.Z. Tadzjibov</t>
  </si>
  <si>
    <t>Kamran</t>
  </si>
  <si>
    <t>Tagoreplaats 201</t>
  </si>
  <si>
    <t>3069 PE ROTTERDAM</t>
  </si>
  <si>
    <t>ktadzjibov@gmail.com</t>
  </si>
  <si>
    <t>Tam</t>
  </si>
  <si>
    <t>R.F.C.Y. Tam</t>
  </si>
  <si>
    <t>Roderick</t>
  </si>
  <si>
    <t>Rozenburglaan 25</t>
  </si>
  <si>
    <t>3062 EB ROTTERDAM</t>
  </si>
  <si>
    <t>roderick@tamtamtam.nl</t>
  </si>
  <si>
    <t>Terstappen</t>
  </si>
  <si>
    <t>R.J. Terstappen</t>
  </si>
  <si>
    <t>Broekermeerdijk 20 ws</t>
  </si>
  <si>
    <t>1151 CZ BROEK IN WATERLAND</t>
  </si>
  <si>
    <t>robinterstappen@hotmail.com</t>
  </si>
  <si>
    <t>Thije</t>
  </si>
  <si>
    <t>J. Ten Thije</t>
  </si>
  <si>
    <t>Jamanota 9 d</t>
  </si>
  <si>
    <t>jenstenthije@hotmail.com</t>
  </si>
  <si>
    <t>Thoorn</t>
  </si>
  <si>
    <t>O. van den Thoorn</t>
  </si>
  <si>
    <t>Otto</t>
  </si>
  <si>
    <t>Korvezeestraat 439</t>
  </si>
  <si>
    <t>2628 DV DELFT</t>
  </si>
  <si>
    <t>ovdthoorn@yahoo.com</t>
  </si>
  <si>
    <t>Timori</t>
  </si>
  <si>
    <t>I. Timori</t>
  </si>
  <si>
    <t>Illias</t>
  </si>
  <si>
    <t>Kleine Kreek 41</t>
  </si>
  <si>
    <t>3079 CD ROTTERDAM</t>
  </si>
  <si>
    <t>illias-@live.nl</t>
  </si>
  <si>
    <t>Veenkamp</t>
  </si>
  <si>
    <t>C.W. Veenkamp</t>
  </si>
  <si>
    <t>Wim Meilinkhof 11</t>
  </si>
  <si>
    <t>1187 TP AMSTELVEEN</t>
  </si>
  <si>
    <t>wesselveenkamp@live.nl</t>
  </si>
  <si>
    <t>Veldhoven</t>
  </si>
  <si>
    <t>T.G. van Veldhoven</t>
  </si>
  <si>
    <t>Ulvenhoutselaan 57</t>
  </si>
  <si>
    <t>4835 MB BREDA</t>
  </si>
  <si>
    <t>thijs_veldhoven@hotmail.com</t>
  </si>
  <si>
    <t>Verswijveren</t>
  </si>
  <si>
    <t>W.W.M. Verswijveren</t>
  </si>
  <si>
    <t>Wout</t>
  </si>
  <si>
    <t>Eenlandsweg 50</t>
  </si>
  <si>
    <t>4661 LK HALSTEREN</t>
  </si>
  <si>
    <t>wwmverswijveren@gmail.com</t>
  </si>
  <si>
    <t>Vilder</t>
  </si>
  <si>
    <t>L.J. de Vilder</t>
  </si>
  <si>
    <t>Dreefplantsoen 16</t>
  </si>
  <si>
    <t>2071 TH SANTPOORT-NOORD</t>
  </si>
  <si>
    <t>laurensdevilder@hotmail.com</t>
  </si>
  <si>
    <t>Villanueva</t>
  </si>
  <si>
    <t>R. Villanueva</t>
  </si>
  <si>
    <t>Reve</t>
  </si>
  <si>
    <t>bramendiweg 127a</t>
  </si>
  <si>
    <t>qqqq xx</t>
  </si>
  <si>
    <t>reve_1993@hotmail.com</t>
  </si>
  <si>
    <t>S.A. Vis</t>
  </si>
  <si>
    <t>Gino</t>
  </si>
  <si>
    <t>Palm Beach 308</t>
  </si>
  <si>
    <t>N/A</t>
  </si>
  <si>
    <t>angelo107@hotmail.com</t>
  </si>
  <si>
    <t>A.J. van Vliet</t>
  </si>
  <si>
    <t>Axel</t>
  </si>
  <si>
    <t>Dr Martinus vd Stoelstr 9</t>
  </si>
  <si>
    <t>2251 RK VOORSCHOTEN</t>
  </si>
  <si>
    <t>axel_vanvliet@hotmail.com</t>
  </si>
  <si>
    <t>Vreeken</t>
  </si>
  <si>
    <t>J.A. Vreeken</t>
  </si>
  <si>
    <t>Hoge Nieuwstraat 32</t>
  </si>
  <si>
    <t>3311 AK DORDRECHT</t>
  </si>
  <si>
    <t>l.hoetmer@planet.nl</t>
  </si>
  <si>
    <t>Vugts</t>
  </si>
  <si>
    <t>P. Vugts</t>
  </si>
  <si>
    <t>E. du Perronstraat 15</t>
  </si>
  <si>
    <t>1321 BK ALMERE</t>
  </si>
  <si>
    <t>pim.vugts@live.nl</t>
  </si>
  <si>
    <t>Waal</t>
  </si>
  <si>
    <t>H.M. Waal</t>
  </si>
  <si>
    <t>Onzenoord 18</t>
  </si>
  <si>
    <t>3079 MD ROTTERDAM</t>
  </si>
  <si>
    <t>meeswaal@hotmail.com</t>
  </si>
  <si>
    <t>H.M. van der Wal</t>
  </si>
  <si>
    <t>Zijveling 4</t>
  </si>
  <si>
    <t>4032 NT OMMEREN</t>
  </si>
  <si>
    <t>markvandewal@live.nl</t>
  </si>
  <si>
    <t>Werken</t>
  </si>
  <si>
    <t>L.R.G. van de Werken</t>
  </si>
  <si>
    <t>Warder 182</t>
  </si>
  <si>
    <t>1473 PL WARDER</t>
  </si>
  <si>
    <t>lrgvandewerken@gmail.com</t>
  </si>
  <si>
    <t>Wesdorp</t>
  </si>
  <si>
    <t>D.D. Wesdorp</t>
  </si>
  <si>
    <t>Dale</t>
  </si>
  <si>
    <t>Govert Flinckstraat 346 hs</t>
  </si>
  <si>
    <t>1074 CE AMSTERDAM</t>
  </si>
  <si>
    <t>dalewesdorp@gmail.com</t>
  </si>
  <si>
    <t>Wheeler</t>
  </si>
  <si>
    <t>K. Wheeler</t>
  </si>
  <si>
    <t>Kelbey</t>
  </si>
  <si>
    <t>Waterland 3</t>
  </si>
  <si>
    <t>2716 AB ZOETERMEER</t>
  </si>
  <si>
    <t>klster@hotmail.com</t>
  </si>
  <si>
    <t>Wielsma</t>
  </si>
  <si>
    <t>B.J. Wielsma</t>
  </si>
  <si>
    <t>Boulevard 25</t>
  </si>
  <si>
    <t>6881 HP VELP GLD</t>
  </si>
  <si>
    <t>boris.wielsma@hotmail.com</t>
  </si>
  <si>
    <t>Wiersema</t>
  </si>
  <si>
    <t>R.M. Wiersema</t>
  </si>
  <si>
    <t>Ralph</t>
  </si>
  <si>
    <t>Molenlaan 57</t>
  </si>
  <si>
    <t>2181 GS HILLEGOM</t>
  </si>
  <si>
    <t>ralph.wiersema@hotmail.com</t>
  </si>
  <si>
    <t>Windt</t>
  </si>
  <si>
    <t>J.M. de Windt</t>
  </si>
  <si>
    <t>Miguel</t>
  </si>
  <si>
    <t>Van Nesstraat 106</t>
  </si>
  <si>
    <t>6826 JT ARNHEM</t>
  </si>
  <si>
    <t>p4s1@live.nl</t>
  </si>
  <si>
    <t>Wissing</t>
  </si>
  <si>
    <t>G.A. Wissing</t>
  </si>
  <si>
    <t>Hogerlustlaan 25</t>
  </si>
  <si>
    <t>1191 CK OUDERKERK AAN DE AMSTEL</t>
  </si>
  <si>
    <t>gijs.wissi@gmail.com</t>
  </si>
  <si>
    <t>M.C. de Wit</t>
  </si>
  <si>
    <t>Kerskottenhorst 16</t>
  </si>
  <si>
    <t>7531 MD ENSCHEDE</t>
  </si>
  <si>
    <t>maarten-de-wit@live.nl</t>
  </si>
  <si>
    <t>Wolf</t>
  </si>
  <si>
    <t>I.J. van der Wolf</t>
  </si>
  <si>
    <t>Iskander</t>
  </si>
  <si>
    <t>Hemmingstraat 11</t>
  </si>
  <si>
    <t>7207 RL ZUTPHEN</t>
  </si>
  <si>
    <t>iskandervanderwolf@gmail.com</t>
  </si>
  <si>
    <t>Woude</t>
  </si>
  <si>
    <t>D.B. van der Woude</t>
  </si>
  <si>
    <t>Spiekmanstraat 48</t>
  </si>
  <si>
    <t>2628 VG DELFT</t>
  </si>
  <si>
    <t>db_vdw@hotmail.com</t>
  </si>
  <si>
    <t>M.P. van der Woude</t>
  </si>
  <si>
    <t>Marco</t>
  </si>
  <si>
    <t>Argusweg 19</t>
  </si>
  <si>
    <t>-</t>
  </si>
  <si>
    <t>marco_vdwoude@hotmail.com</t>
  </si>
  <si>
    <t>Wulffers</t>
  </si>
  <si>
    <t>S. Wulffers</t>
  </si>
  <si>
    <t>Silvester</t>
  </si>
  <si>
    <t>Doelenstraat 127</t>
  </si>
  <si>
    <t>2611 NS DELFT</t>
  </si>
  <si>
    <t>silvesterwulffers@hotmail.com</t>
  </si>
  <si>
    <t>Wyngaard</t>
  </si>
  <si>
    <t>T.R. Wyngaard</t>
  </si>
  <si>
    <t>Thane</t>
  </si>
  <si>
    <t>Max Euweweg 145</t>
  </si>
  <si>
    <t>2553 PR 'S-GRAVENHAGE</t>
  </si>
  <si>
    <t>thanewyn@gmail.com</t>
  </si>
  <si>
    <t>Yared</t>
  </si>
  <si>
    <t>J. Yared</t>
  </si>
  <si>
    <t>Joey</t>
  </si>
  <si>
    <t>Epemastate 13</t>
  </si>
  <si>
    <t>8926 MX LEEUWARDEN</t>
  </si>
  <si>
    <t>jyyd@live.nl</t>
  </si>
  <si>
    <t>Žnidaršic</t>
  </si>
  <si>
    <t>L.Y.D. Žnidaršic</t>
  </si>
  <si>
    <t>Olympus 110</t>
  </si>
  <si>
    <t>3524 WD UTRECHT</t>
  </si>
  <si>
    <t>laurensznidarsic@live.nl</t>
  </si>
  <si>
    <t>Zuiderveld</t>
  </si>
  <si>
    <t>N.D.H. Zuiderveld</t>
  </si>
  <si>
    <t>Duke Ellingtonstraat 28</t>
  </si>
  <si>
    <t>2625 GB DELFT</t>
  </si>
  <si>
    <t>n.zuiderveld@gmail.com</t>
  </si>
  <si>
    <t>Zwart</t>
  </si>
  <si>
    <t>J.H.M. Zwart</t>
  </si>
  <si>
    <t>Galvanistraat 35</t>
  </si>
  <si>
    <t>6533 DV NIJMEGEN</t>
  </si>
  <si>
    <t>joost.zwart@hotmail.com</t>
  </si>
  <si>
    <t>M.D.N. Aalberse</t>
  </si>
  <si>
    <t>5-16-1995</t>
  </si>
  <si>
    <t>Hooftlaantje 92</t>
  </si>
  <si>
    <t>3344 EL HENDRIK-IDO-AMBACHT</t>
  </si>
  <si>
    <t>m.aalberse@kpnmail.nl</t>
  </si>
  <si>
    <t>Beuling</t>
  </si>
  <si>
    <t>M.G. Beuling</t>
  </si>
  <si>
    <t>Maaike</t>
  </si>
  <si>
    <t>Postweg 30</t>
  </si>
  <si>
    <t>7957 BW DE WIJK</t>
  </si>
  <si>
    <t>maaikebeuling@live.nl</t>
  </si>
  <si>
    <t>Blok</t>
  </si>
  <si>
    <t>J. Blok</t>
  </si>
  <si>
    <t>Janneke</t>
  </si>
  <si>
    <t>Ponyweide 31</t>
  </si>
  <si>
    <t>2727 HK ZOETERMEER</t>
  </si>
  <si>
    <t>jannekeblok@hotmail.nl</t>
  </si>
  <si>
    <t>E.A. Blom</t>
  </si>
  <si>
    <t>Eva</t>
  </si>
  <si>
    <t>Hoofdweg 1390</t>
  </si>
  <si>
    <t>2153 LV NIEUW VENNEP</t>
  </si>
  <si>
    <t>evazwemmen@live.nl</t>
  </si>
  <si>
    <t>Dhondt</t>
  </si>
  <si>
    <t>M.C. Dhondt</t>
  </si>
  <si>
    <t>Mariska</t>
  </si>
  <si>
    <t>De Hoefkens 29</t>
  </si>
  <si>
    <t>5066 BX MOERGESTEL</t>
  </si>
  <si>
    <t>dhondt98@hotmail.com</t>
  </si>
  <si>
    <t>Dik</t>
  </si>
  <si>
    <t>M.L.I. Dik</t>
  </si>
  <si>
    <t>Emilie</t>
  </si>
  <si>
    <t>Aristoteleslaan 12</t>
  </si>
  <si>
    <t>3707 EL ZEIST</t>
  </si>
  <si>
    <t>emilie_dik@hotmail.com</t>
  </si>
  <si>
    <t>Dupont de Dinechin</t>
  </si>
  <si>
    <t>H.C.D. Dupont de Dinechin</t>
  </si>
  <si>
    <t>Hélène</t>
  </si>
  <si>
    <t>1 rue Jacques Offenbach</t>
  </si>
  <si>
    <t>Frankrijk</t>
  </si>
  <si>
    <t>helene.dedinechin@yahoo.fr</t>
  </si>
  <si>
    <t>Geerlings</t>
  </si>
  <si>
    <t>S.C. Geerlings</t>
  </si>
  <si>
    <t>Simone</t>
  </si>
  <si>
    <t>Prinsessenhof 29</t>
  </si>
  <si>
    <t>2104 AP HEEMSTEDE</t>
  </si>
  <si>
    <t>simonegeerlings@hotmail.com</t>
  </si>
  <si>
    <t>Goorden</t>
  </si>
  <si>
    <t>K. Goorden</t>
  </si>
  <si>
    <t>Kristie</t>
  </si>
  <si>
    <t>Zijde 282</t>
  </si>
  <si>
    <t>2771 EW BOSKOOP</t>
  </si>
  <si>
    <t>kristie.goorden@live.nl</t>
  </si>
  <si>
    <t>Goossenaerts</t>
  </si>
  <si>
    <t>S. Goossenaerts</t>
  </si>
  <si>
    <t>Sieglinde</t>
  </si>
  <si>
    <t>Molenbaan 145</t>
  </si>
  <si>
    <t>2920 Kalmthout</t>
  </si>
  <si>
    <t>sieglinde.goossenaerts@hotmail.com</t>
  </si>
  <si>
    <t>Heijkoop</t>
  </si>
  <si>
    <t>È.R.H. Heijkoop</t>
  </si>
  <si>
    <t>Èmese</t>
  </si>
  <si>
    <t>Libanonweg 2</t>
  </si>
  <si>
    <t>8051 NV HATTEM</t>
  </si>
  <si>
    <t>emeserh@hotmail.com</t>
  </si>
  <si>
    <t>Hooft Graafland</t>
  </si>
  <si>
    <t>A.J.C. Hooft Graafland</t>
  </si>
  <si>
    <t>Joy</t>
  </si>
  <si>
    <t>Nieuwstraat 100 a</t>
  </si>
  <si>
    <t>8011 TS ZWOLLE</t>
  </si>
  <si>
    <t>gijs@hooftgraafland.com</t>
  </si>
  <si>
    <t>Hoogenstraaten</t>
  </si>
  <si>
    <t>A.L. Hoogenstraaten</t>
  </si>
  <si>
    <t>Amy</t>
  </si>
  <si>
    <t>Gemzenhei 11</t>
  </si>
  <si>
    <t>5508 TM VELDHOVEN</t>
  </si>
  <si>
    <t>amy_hoog@hotmail.com</t>
  </si>
  <si>
    <t>Hulskamp</t>
  </si>
  <si>
    <t>R.L. Hulskamp</t>
  </si>
  <si>
    <t>Romy</t>
  </si>
  <si>
    <t>Lijsterbeslaan 19</t>
  </si>
  <si>
    <t>1185 JS AMSTELVEEN</t>
  </si>
  <si>
    <t>romyhulskamp@casema.nl</t>
  </si>
  <si>
    <t>Jales Portela</t>
  </si>
  <si>
    <t>P. Jales Portela</t>
  </si>
  <si>
    <t>Priscila Jales</t>
  </si>
  <si>
    <t>Braziliaanse</t>
  </si>
  <si>
    <t>Rua Santo Elias 450</t>
  </si>
  <si>
    <t>52020090 Recife</t>
  </si>
  <si>
    <t>Brazilië</t>
  </si>
  <si>
    <t>priuh_jales@hotmail.com</t>
  </si>
  <si>
    <t>Kooi</t>
  </si>
  <si>
    <t>E.C. Kooi</t>
  </si>
  <si>
    <t>Emma</t>
  </si>
  <si>
    <t>Atjehweg 6</t>
  </si>
  <si>
    <t>2202 AP NOORDWIJK ZH</t>
  </si>
  <si>
    <t>vanbeelen@trs.eu</t>
  </si>
  <si>
    <t>F. Molenaar</t>
  </si>
  <si>
    <t>Jacoba van Beierenlaan 19</t>
  </si>
  <si>
    <t>2613 HV DELFT</t>
  </si>
  <si>
    <t>flo.molenaar@gmail.com</t>
  </si>
  <si>
    <t>Muris</t>
  </si>
  <si>
    <t>Y. Muris</t>
  </si>
  <si>
    <t>Yolande</t>
  </si>
  <si>
    <t>Dorsvlegel 10</t>
  </si>
  <si>
    <t>3171 DB POORTUGAAL</t>
  </si>
  <si>
    <t>yolandee@live.nl</t>
  </si>
  <si>
    <t>Nicolaas</t>
  </si>
  <si>
    <t>S.S. Nicolaas</t>
  </si>
  <si>
    <t>Sheetal</t>
  </si>
  <si>
    <t>Cartesiusstraat 183</t>
  </si>
  <si>
    <t>2562 SG 'S-GRAVENHAGE</t>
  </si>
  <si>
    <t>sheetalnicolaas@hotmail.com</t>
  </si>
  <si>
    <t>Pakvis</t>
  </si>
  <si>
    <t>S.A. Pakvis</t>
  </si>
  <si>
    <t>Sara</t>
  </si>
  <si>
    <t>Langestraat 43</t>
  </si>
  <si>
    <t>2691 BB 'S-GRAVENZANDE</t>
  </si>
  <si>
    <t>sarapakvis@hotmail.com</t>
  </si>
  <si>
    <t>Piar</t>
  </si>
  <si>
    <t>X.M. Piar</t>
  </si>
  <si>
    <t>Xiandra</t>
  </si>
  <si>
    <t>Tinwegstraat A 25</t>
  </si>
  <si>
    <t>xiandra.piar@hotmail.com</t>
  </si>
  <si>
    <t>Quainoo</t>
  </si>
  <si>
    <t>L.G.M.E. Quainoo</t>
  </si>
  <si>
    <t>Laura</t>
  </si>
  <si>
    <t>Sonsbeekweg 16 3</t>
  </si>
  <si>
    <t>6814 BB ARNHEM</t>
  </si>
  <si>
    <t>l.quainoo@laurganiq.nl</t>
  </si>
  <si>
    <t>Rabilotta Yañez</t>
  </si>
  <si>
    <t>Z.N. Rabilotta Yañez</t>
  </si>
  <si>
    <t>Zyanya</t>
  </si>
  <si>
    <t>Slingerbeekstraat 20 1</t>
  </si>
  <si>
    <t>1078 BJ AMSTERDAM</t>
  </si>
  <si>
    <t>zyanya_r@hotmail.com</t>
  </si>
  <si>
    <t>Renckens</t>
  </si>
  <si>
    <t>B. Renckens</t>
  </si>
  <si>
    <t>Berber</t>
  </si>
  <si>
    <t>Lantingawerf 25</t>
  </si>
  <si>
    <t>8651 HA IJLST</t>
  </si>
  <si>
    <t>berberrenckens@hotmail.com</t>
  </si>
  <si>
    <t>Ritzen</t>
  </si>
  <si>
    <t>L. Ritzen</t>
  </si>
  <si>
    <t>Linda</t>
  </si>
  <si>
    <t>Molenweg 26</t>
  </si>
  <si>
    <t>6071 VZ SWALMEN</t>
  </si>
  <si>
    <t>rindasaur@gmail.com</t>
  </si>
  <si>
    <t>Roij van Zuidewijn</t>
  </si>
  <si>
    <t>D.C.M. de Roij van Zuidewijn</t>
  </si>
  <si>
    <t>Dorith</t>
  </si>
  <si>
    <t>Rechterenstraat 84</t>
  </si>
  <si>
    <t>4834 LV BREDA</t>
  </si>
  <si>
    <t>dorith_drvz@hotmail.com</t>
  </si>
  <si>
    <t>R.M.H. Rutten</t>
  </si>
  <si>
    <t>Roosmarijn</t>
  </si>
  <si>
    <t>Spotvogellaan 9</t>
  </si>
  <si>
    <t>2566 PA 'S-GRAVENHAGE</t>
  </si>
  <si>
    <t>roosmarijnr@gmail.com</t>
  </si>
  <si>
    <t>Steenmeijer</t>
  </si>
  <si>
    <t>M.A. Steenmeijer</t>
  </si>
  <si>
    <t>Michelle</t>
  </si>
  <si>
    <t>Achterom 26</t>
  </si>
  <si>
    <t>2611 PP DELFT</t>
  </si>
  <si>
    <t>miesje.st@gmail.com</t>
  </si>
  <si>
    <t>Stuijt</t>
  </si>
  <si>
    <t>L. Stuijt</t>
  </si>
  <si>
    <t>Lin</t>
  </si>
  <si>
    <t>Molenstraat 25</t>
  </si>
  <si>
    <t>2611 JZ DELFT</t>
  </si>
  <si>
    <t>linstuyt@hotmail.com</t>
  </si>
  <si>
    <t>J.A. Teunissen</t>
  </si>
  <si>
    <t>Joyce</t>
  </si>
  <si>
    <t>Jeneverbes 8</t>
  </si>
  <si>
    <t>4635 BN HUIJBERGEN</t>
  </si>
  <si>
    <t>_joyce_x@live.nl</t>
  </si>
  <si>
    <t>Tol</t>
  </si>
  <si>
    <t>A.L. Tol</t>
  </si>
  <si>
    <t>Costa Ricastraat 145</t>
  </si>
  <si>
    <t>h.tol@ziggo.nl</t>
  </si>
  <si>
    <t>Vaseur</t>
  </si>
  <si>
    <t>X.N.C. Vaseur</t>
  </si>
  <si>
    <t>Xaviera</t>
  </si>
  <si>
    <t>Leiding 11 Nummer 3</t>
  </si>
  <si>
    <t>Wanica</t>
  </si>
  <si>
    <t>Suriname</t>
  </si>
  <si>
    <t>xavieravaseur@hotmail.com</t>
  </si>
  <si>
    <t>Vliegen</t>
  </si>
  <si>
    <t>L.W. Vliegen</t>
  </si>
  <si>
    <t>Liset</t>
  </si>
  <si>
    <t>Laaressingel 178</t>
  </si>
  <si>
    <t>7514 EW ENSCHEDE</t>
  </si>
  <si>
    <t>lisetvliegen@gmail.com</t>
  </si>
  <si>
    <t>Vroegh</t>
  </si>
  <si>
    <t>C.C. Vroegh</t>
  </si>
  <si>
    <t>Centaine</t>
  </si>
  <si>
    <t>Sprietzeil 30</t>
  </si>
  <si>
    <t>1319 EC ALMERE</t>
  </si>
  <si>
    <t>centaine1@hotmail.com</t>
  </si>
  <si>
    <t>Zwanenburg</t>
  </si>
  <si>
    <t>N.C. Zwanenburg</t>
  </si>
  <si>
    <t>Schotervlielandstraat 4</t>
  </si>
  <si>
    <t>2024 EA HAARLEM</t>
  </si>
  <si>
    <t>nienkezwanenburg@hotmail.com</t>
  </si>
  <si>
    <t>Kuipers</t>
  </si>
  <si>
    <t>J.R. Kuipers</t>
  </si>
  <si>
    <t>Jarno</t>
  </si>
  <si>
    <t>Gündogan</t>
  </si>
  <si>
    <t>Riessen</t>
  </si>
  <si>
    <t>Aalberse</t>
  </si>
  <si>
    <t>Rojer</t>
  </si>
  <si>
    <t>G.C. Rojer</t>
  </si>
  <si>
    <t xml:space="preserve">Zuidervaart </t>
  </si>
  <si>
    <t>H.H. Zuidervaart</t>
  </si>
  <si>
    <t>2008 op tijd gestaakt</t>
  </si>
  <si>
    <t>voor 2e semester 2012 gestopt</t>
  </si>
  <si>
    <t>Kho</t>
  </si>
  <si>
    <t>C.K.M. Kho</t>
  </si>
  <si>
    <t>C.K.M.Kho@student.tudelft.nl</t>
  </si>
  <si>
    <t>0640672664</t>
  </si>
  <si>
    <t>OMZW WB</t>
  </si>
  <si>
    <t>OMZW LR OMZW WB</t>
  </si>
  <si>
    <t>OMZW WB OMZW IO</t>
  </si>
  <si>
    <t>OMZW TB</t>
  </si>
  <si>
    <t>OMZW TA OMZW WB</t>
  </si>
  <si>
    <t>OMZW ET</t>
  </si>
  <si>
    <t>OMZW LR OMZW LST</t>
  </si>
  <si>
    <t>OMZW MST</t>
  </si>
  <si>
    <t>OMZW TN</t>
  </si>
  <si>
    <t>OMZW LR OMZW MT</t>
  </si>
  <si>
    <t>OMZW CT</t>
  </si>
  <si>
    <t>OMZW TI</t>
  </si>
  <si>
    <t>A.S.D. de Bock</t>
  </si>
  <si>
    <t>OMZW TB OMZW CT</t>
  </si>
  <si>
    <t>OMZW IO</t>
  </si>
  <si>
    <t>OMZW TW</t>
  </si>
  <si>
    <t>OMZW BK</t>
  </si>
  <si>
    <t>OMZW BK OMZW TI</t>
  </si>
  <si>
    <t>OMZWAAI VAN</t>
  </si>
  <si>
    <t>NATIONALITEIT</t>
  </si>
  <si>
    <t>0638712036</t>
  </si>
  <si>
    <t>Adank</t>
  </si>
  <si>
    <t>M.W. Adank</t>
  </si>
  <si>
    <t>Maartje</t>
  </si>
  <si>
    <t>Goosens</t>
  </si>
  <si>
    <t>L.R. Goosens</t>
  </si>
  <si>
    <t>Lennart</t>
  </si>
  <si>
    <t>2e jaars</t>
  </si>
  <si>
    <t>Burbach</t>
  </si>
  <si>
    <t>N. Burbach</t>
  </si>
  <si>
    <t>niels_burbach@hotmail.com</t>
  </si>
  <si>
    <t>Al Otmani</t>
  </si>
  <si>
    <t>A. Al Otmani</t>
  </si>
  <si>
    <t>Abdel</t>
  </si>
  <si>
    <t>overgestapt van ET (na 1 dag)</t>
  </si>
  <si>
    <t>Jagt</t>
  </si>
  <si>
    <t>J.E. Jagt</t>
  </si>
  <si>
    <t>CSA</t>
  </si>
  <si>
    <t>VOOROPLEIDING</t>
  </si>
  <si>
    <t>SO ME</t>
  </si>
  <si>
    <t>4307739</t>
  </si>
  <si>
    <t>Keizer</t>
  </si>
  <si>
    <t>L.W.R. Keizer</t>
  </si>
  <si>
    <t>luukiekeizer@gmail.com</t>
  </si>
  <si>
    <t>+31-625422258</t>
  </si>
  <si>
    <t>0</t>
  </si>
  <si>
    <t>HAVO (N+T)</t>
  </si>
  <si>
    <t>4168682</t>
  </si>
  <si>
    <t>Akhtar</t>
  </si>
  <si>
    <t>M.S. Akhtar</t>
  </si>
  <si>
    <t>Shoaib</t>
  </si>
  <si>
    <t>shoaib246@hotmail.com</t>
  </si>
  <si>
    <t>+31-0641844679</t>
  </si>
  <si>
    <t>COM.BEDR.L/OND.KLEINBEDR.</t>
  </si>
  <si>
    <t>1536443</t>
  </si>
  <si>
    <t>T.J. van der Heiden</t>
  </si>
  <si>
    <t>tessavdheiden@gmail.com</t>
  </si>
  <si>
    <t>+31-0628893033</t>
  </si>
  <si>
    <t>VWO (N+G)</t>
  </si>
  <si>
    <t>4312465</t>
  </si>
  <si>
    <t>Brocken</t>
  </si>
  <si>
    <t>R.J.A. Brocken</t>
  </si>
  <si>
    <t>448818@student.inholland.nl</t>
  </si>
  <si>
    <t>SO MSE</t>
  </si>
  <si>
    <t>4312988</t>
  </si>
  <si>
    <t>Gültekin</t>
  </si>
  <si>
    <t>Ö. Gültekin</t>
  </si>
  <si>
    <t>Özer</t>
  </si>
  <si>
    <t>ozer_123@hotmail.com</t>
  </si>
  <si>
    <t>+31-634566169</t>
  </si>
  <si>
    <t>HAVO (N+G)</t>
  </si>
  <si>
    <t>SO MT</t>
  </si>
  <si>
    <t>4258819</t>
  </si>
  <si>
    <t>Huijgens</t>
  </si>
  <si>
    <t>L.J.G. Huijgens</t>
  </si>
  <si>
    <t>Lode</t>
  </si>
  <si>
    <t>l_huijgens@hotmail.com</t>
  </si>
  <si>
    <t>+32-487618310</t>
  </si>
  <si>
    <t>Buitenlandse vooropleiding via SL</t>
  </si>
  <si>
    <t>4313550</t>
  </si>
  <si>
    <t>Bij</t>
  </si>
  <si>
    <t>B.W. van der Bij</t>
  </si>
  <si>
    <t>Bastiaan</t>
  </si>
  <si>
    <t>3205582@student.inholland.nl</t>
  </si>
  <si>
    <t>+31-0621697828</t>
  </si>
  <si>
    <t>SO ODE</t>
  </si>
  <si>
    <t>4314794</t>
  </si>
  <si>
    <t>thijs0290@gmail.com</t>
  </si>
  <si>
    <t>+31-0647824777</t>
  </si>
  <si>
    <t>4315995</t>
  </si>
  <si>
    <t>Vancauwenbergh</t>
  </si>
  <si>
    <t>L. Vancauwenbergh</t>
  </si>
  <si>
    <t>lode.vanc@gmail.com</t>
  </si>
  <si>
    <t>+32-0485271565</t>
  </si>
  <si>
    <t>4316215</t>
  </si>
  <si>
    <t>Vink</t>
  </si>
  <si>
    <t>T.H. Vink</t>
  </si>
  <si>
    <t>Theo</t>
  </si>
  <si>
    <t>t.vink@hotmail.com</t>
  </si>
  <si>
    <t>VWO (N+T)</t>
  </si>
  <si>
    <t>1148486</t>
  </si>
  <si>
    <t>+31-0647976838</t>
  </si>
  <si>
    <t>4321251</t>
  </si>
  <si>
    <t>Lotgering</t>
  </si>
  <si>
    <t>A. Lotgering</t>
  </si>
  <si>
    <t>alex</t>
  </si>
  <si>
    <t>alexlotgering@gmail.com</t>
  </si>
  <si>
    <t>+31-0681429369</t>
  </si>
  <si>
    <t>4254392</t>
  </si>
  <si>
    <t>Vente</t>
  </si>
  <si>
    <t>R.D.C. de Vente</t>
  </si>
  <si>
    <t>Roel</t>
  </si>
  <si>
    <t>roeldv@gmail.com</t>
  </si>
  <si>
    <t>+31-0622540230</t>
  </si>
  <si>
    <t>PROPEDEUSE-DIPL. BACH.HBO</t>
  </si>
  <si>
    <t>4322673</t>
  </si>
  <si>
    <t>+31-0622120075</t>
  </si>
  <si>
    <t>HAVO NIEUW (N+T)</t>
  </si>
  <si>
    <t>4253272</t>
  </si>
  <si>
    <t>P.W. de Boer</t>
  </si>
  <si>
    <t>patrickpwdeboer@gmail.com</t>
  </si>
  <si>
    <t>+31-0641788990</t>
  </si>
  <si>
    <t>4250028</t>
  </si>
  <si>
    <t>N. van Dijk</t>
  </si>
  <si>
    <t>nielsvandijk03091991@gmail.com</t>
  </si>
  <si>
    <t>+31-0613570722</t>
  </si>
  <si>
    <t>BACHELOR HBO</t>
  </si>
  <si>
    <t>4323416</t>
  </si>
  <si>
    <t>Boltje</t>
  </si>
  <si>
    <t>D. Boltje</t>
  </si>
  <si>
    <t>Diedert</t>
  </si>
  <si>
    <t>diedertboltje@hotmail.com</t>
  </si>
  <si>
    <t>+31-0651179410</t>
  </si>
  <si>
    <t>4036700</t>
  </si>
  <si>
    <t>H.T.L. Hoang</t>
  </si>
  <si>
    <t>Long</t>
  </si>
  <si>
    <t>h.t.l.hoang@gmail.com</t>
  </si>
  <si>
    <t>+31-0614393491</t>
  </si>
  <si>
    <t>SO BME</t>
  </si>
  <si>
    <t>1384694</t>
  </si>
  <si>
    <t>Bernard</t>
  </si>
  <si>
    <t>W.J.C. Bernard</t>
  </si>
  <si>
    <t>willembernard@gmail.com</t>
  </si>
  <si>
    <t>+31-0615412470</t>
  </si>
  <si>
    <t>4325737</t>
  </si>
  <si>
    <t>Heijmeijer</t>
  </si>
  <si>
    <t>O.A. Heijmeijer</t>
  </si>
  <si>
    <t>Oliver</t>
  </si>
  <si>
    <t>oliverheijmeijer@gmail.com</t>
  </si>
  <si>
    <t>+31-0643113079</t>
  </si>
  <si>
    <t>4326024</t>
  </si>
  <si>
    <t>Dommelen</t>
  </si>
  <si>
    <t>R.M. van Dommelen</t>
  </si>
  <si>
    <t>Ryan</t>
  </si>
  <si>
    <t>ryanmvd@gmail.com</t>
  </si>
  <si>
    <t>+31-0628177399</t>
  </si>
  <si>
    <t>4256042</t>
  </si>
  <si>
    <t>Borghuis</t>
  </si>
  <si>
    <t>J. Borghuis</t>
  </si>
  <si>
    <t>jurgenborghuis@hotmail.com</t>
  </si>
  <si>
    <t>+31-0610628902</t>
  </si>
  <si>
    <t>4326466</t>
  </si>
  <si>
    <t>Meijer</t>
  </si>
  <si>
    <t>J.G.J. Meijer</t>
  </si>
  <si>
    <t>joneboon@gmail.com</t>
  </si>
  <si>
    <t>4012593</t>
  </si>
  <si>
    <t>J.M. van der Jagt</t>
  </si>
  <si>
    <t>jorisvanderjagt@gmail.com</t>
  </si>
  <si>
    <t>+31-0645125150</t>
  </si>
  <si>
    <t>PROPEDEUSE-DIPLOMA HBO</t>
  </si>
  <si>
    <t>4010035</t>
  </si>
  <si>
    <t>Klap</t>
  </si>
  <si>
    <t>P. Klap</t>
  </si>
  <si>
    <t>Paulien</t>
  </si>
  <si>
    <t>paulienklap_8@hotmail.com</t>
  </si>
  <si>
    <t>+31-0629436488</t>
  </si>
  <si>
    <t>VWO (N+T EN N+G)</t>
  </si>
  <si>
    <t>4329570</t>
  </si>
  <si>
    <t>Kruiswijk</t>
  </si>
  <si>
    <t>R. Kruiswijk</t>
  </si>
  <si>
    <t>Roeland</t>
  </si>
  <si>
    <t>roelandk@hotmail.com</t>
  </si>
  <si>
    <t>+31-0638039856</t>
  </si>
  <si>
    <t>4329996</t>
  </si>
  <si>
    <t>Schoubroeck</t>
  </si>
  <si>
    <t>J.K. van Schoubroeck</t>
  </si>
  <si>
    <t>Joachim Kinley</t>
  </si>
  <si>
    <t>jimmyvanschoubroeck@yahoo.com</t>
  </si>
  <si>
    <t>+31-0634536680</t>
  </si>
  <si>
    <t>4330706</t>
  </si>
  <si>
    <t>Dirven</t>
  </si>
  <si>
    <t>S.K.A. Dirven</t>
  </si>
  <si>
    <t>frouwkjedeblaauw@hotmail.com</t>
  </si>
  <si>
    <t>+31-0614554975</t>
  </si>
  <si>
    <t>4330528</t>
  </si>
  <si>
    <t>Zoest</t>
  </si>
  <si>
    <t>W.P. van Zoest</t>
  </si>
  <si>
    <t>wouter_zoest@hotmail.com</t>
  </si>
  <si>
    <t>+31-0618905257</t>
  </si>
  <si>
    <t>4330501</t>
  </si>
  <si>
    <t>Nagat Mohamed Elmustafa Hassan</t>
  </si>
  <si>
    <t>. Nagat Mohamed Elmustafa Hassan</t>
  </si>
  <si>
    <t>Nagat</t>
  </si>
  <si>
    <t>najoo_84@hotmail.com</t>
  </si>
  <si>
    <t>+31-0685221519</t>
  </si>
  <si>
    <t>4002156</t>
  </si>
  <si>
    <t>Knoppe</t>
  </si>
  <si>
    <t>K.I. Knoppe</t>
  </si>
  <si>
    <t>Kristel</t>
  </si>
  <si>
    <t>ronald.knoppe@gmail.com</t>
  </si>
  <si>
    <t>+31-0651814479</t>
  </si>
  <si>
    <t>4038282</t>
  </si>
  <si>
    <t>Tielens</t>
  </si>
  <si>
    <t>S.L. Tielens</t>
  </si>
  <si>
    <t>sophie</t>
  </si>
  <si>
    <t>sltielens@gmail.com</t>
  </si>
  <si>
    <t>+31-0616550659</t>
  </si>
  <si>
    <t>4323750</t>
  </si>
  <si>
    <t>Delft</t>
  </si>
  <si>
    <t>F.A. van Delft</t>
  </si>
  <si>
    <t>f.a.vandelft@gmail.com</t>
  </si>
  <si>
    <t>+31-0612855875</t>
  </si>
  <si>
    <t>HAVO NIEUW (N+T EN N+G)</t>
  </si>
  <si>
    <t>4241851</t>
  </si>
  <si>
    <t>Mestemaker</t>
  </si>
  <si>
    <t>W.T.J. Mestemaker</t>
  </si>
  <si>
    <t>Wietze</t>
  </si>
  <si>
    <t>wietze@live.nl</t>
  </si>
  <si>
    <t>+31-0613691752</t>
  </si>
  <si>
    <t>4083830</t>
  </si>
  <si>
    <t>Hillenius</t>
  </si>
  <si>
    <t>S.M. Hillenius</t>
  </si>
  <si>
    <t>stino2@msn.com</t>
  </si>
  <si>
    <t>+31-0619993483</t>
  </si>
  <si>
    <t>4332008</t>
  </si>
  <si>
    <t>B. van den Brink</t>
  </si>
  <si>
    <t>bramvandenbrink@live.nl</t>
  </si>
  <si>
    <t>+31-0646234230</t>
  </si>
  <si>
    <t>4331982</t>
  </si>
  <si>
    <t>N.J. Tol</t>
  </si>
  <si>
    <t>n_tol@live.nl</t>
  </si>
  <si>
    <t>+31-0623620945</t>
  </si>
  <si>
    <t>4331826</t>
  </si>
  <si>
    <t>Koorn</t>
  </si>
  <si>
    <t>N.J. Koorn</t>
  </si>
  <si>
    <t>njkoorn@hotmail.com</t>
  </si>
  <si>
    <t>+31-0630544258</t>
  </si>
  <si>
    <t>4259149</t>
  </si>
  <si>
    <t>N.W.M. de Jong</t>
  </si>
  <si>
    <t>nickdejong_alfa@hotmail.com</t>
  </si>
  <si>
    <t>4333667</t>
  </si>
  <si>
    <t>+31-0658719013</t>
  </si>
  <si>
    <t>VWO NIEUW (N+T)</t>
  </si>
  <si>
    <t>1509756</t>
  </si>
  <si>
    <t>Breeuwsma</t>
  </si>
  <si>
    <t>A.J.D. Breeuwsma</t>
  </si>
  <si>
    <t>jasperbreeuwsma@hotmail.com</t>
  </si>
  <si>
    <t>+31-643539677</t>
  </si>
  <si>
    <t>4333721</t>
  </si>
  <si>
    <t>Hoogeveen</t>
  </si>
  <si>
    <t>E. Hoogeveen</t>
  </si>
  <si>
    <t>Erik</t>
  </si>
  <si>
    <t>erik.hoogeveen@hva.nl</t>
  </si>
  <si>
    <t>HAVO (N+T EN N+G)</t>
  </si>
  <si>
    <t>4334108</t>
  </si>
  <si>
    <t>Diek</t>
  </si>
  <si>
    <t>S.M. Diek</t>
  </si>
  <si>
    <t>stephandiek@hotmail.com</t>
  </si>
  <si>
    <t>+31-0649235970</t>
  </si>
  <si>
    <t>VWO (E+M)</t>
  </si>
  <si>
    <t>4334191</t>
  </si>
  <si>
    <t>Wilson</t>
  </si>
  <si>
    <t>B.A.H. Wilson</t>
  </si>
  <si>
    <t>benwilson@live.nl</t>
  </si>
  <si>
    <t>+31-0654352617</t>
  </si>
  <si>
    <t>1393049</t>
  </si>
  <si>
    <t>Steutel</t>
  </si>
  <si>
    <t>C.P.A. Steutel</t>
  </si>
  <si>
    <t>cpasteutel@gmail.com</t>
  </si>
  <si>
    <t>+31-611331822</t>
  </si>
  <si>
    <t>4335058</t>
  </si>
  <si>
    <t>Ruijter</t>
  </si>
  <si>
    <t>R.B. de Ruijter</t>
  </si>
  <si>
    <t>raymondr1991@gmail.com</t>
  </si>
  <si>
    <t>+31-0647157743</t>
  </si>
  <si>
    <t>4334892</t>
  </si>
  <si>
    <t>Wittingen</t>
  </si>
  <si>
    <t>A. Wittingen</t>
  </si>
  <si>
    <t>martijnwittingen@hotmail.nl</t>
  </si>
  <si>
    <t>1366629</t>
  </si>
  <si>
    <t>Noordam</t>
  </si>
  <si>
    <t>L.G. Noordam</t>
  </si>
  <si>
    <t>noordampie@hotmail.com</t>
  </si>
  <si>
    <t>+31-0641856384</t>
  </si>
  <si>
    <t>4333764</t>
  </si>
  <si>
    <t>Lenssen</t>
  </si>
  <si>
    <t>T.A. Lenssen</t>
  </si>
  <si>
    <t>Tomas</t>
  </si>
  <si>
    <t>tomas_lenssen@hotmail.com</t>
  </si>
  <si>
    <t>+31-0628963533</t>
  </si>
  <si>
    <t>4162935</t>
  </si>
  <si>
    <t>+31-0650800123</t>
  </si>
  <si>
    <t>4335511</t>
  </si>
  <si>
    <t>Graat</t>
  </si>
  <si>
    <t>S. Graat</t>
  </si>
  <si>
    <t>stefangraat@hotmail.com</t>
  </si>
  <si>
    <t>1518127</t>
  </si>
  <si>
    <t>Disselkoen</t>
  </si>
  <si>
    <t>M.B. Disselkoen</t>
  </si>
  <si>
    <t>m.disselkoen@planet.nl</t>
  </si>
  <si>
    <t>+31-31618428490</t>
  </si>
  <si>
    <t>4334302</t>
  </si>
  <si>
    <t>Malik</t>
  </si>
  <si>
    <t>M.N. Malik</t>
  </si>
  <si>
    <t>Naseem</t>
  </si>
  <si>
    <t>mnmalik87@gmail.com</t>
  </si>
  <si>
    <t>+31-0634770555</t>
  </si>
  <si>
    <t>1366319</t>
  </si>
  <si>
    <t>Knijff</t>
  </si>
  <si>
    <t>A.T. van der Knijff</t>
  </si>
  <si>
    <t>Allard</t>
  </si>
  <si>
    <t>allardvdknijff@hotmail.com</t>
  </si>
  <si>
    <t>+31-0630868051</t>
  </si>
  <si>
    <t>1359770</t>
  </si>
  <si>
    <t>Zwinkels</t>
  </si>
  <si>
    <t>R.E. Zwinkels</t>
  </si>
  <si>
    <t>Roald</t>
  </si>
  <si>
    <t>roaldzwinkels@gmail.com</t>
  </si>
  <si>
    <t>+31-0614033497</t>
  </si>
  <si>
    <t>vermoedelijk HBO: bijv. 4 a 5 jaar geleden HAVO gehaald</t>
  </si>
  <si>
    <t>HBO</t>
  </si>
  <si>
    <t>HBO, vermoedelijk doorstroomminor of P-HBO wegens &lt;= 3 jaar geleden HAVO gehaald, o.i.d.</t>
  </si>
  <si>
    <t>TU-Bachelor ==&gt; 3ME-master</t>
  </si>
  <si>
    <t>MT01</t>
  </si>
  <si>
    <t>MT02</t>
  </si>
  <si>
    <t>MT03</t>
  </si>
  <si>
    <t>MT04</t>
  </si>
  <si>
    <t>MT05</t>
  </si>
  <si>
    <t>MT06</t>
  </si>
  <si>
    <t>MT07</t>
  </si>
  <si>
    <t>MT08</t>
  </si>
  <si>
    <t>MT09</t>
  </si>
  <si>
    <t>MT10</t>
  </si>
  <si>
    <t>MT11</t>
  </si>
  <si>
    <t>MT12</t>
  </si>
  <si>
    <t>MT13</t>
  </si>
  <si>
    <t>MT14</t>
  </si>
  <si>
    <t>MT15</t>
  </si>
  <si>
    <t>MT16</t>
  </si>
  <si>
    <t>WB01</t>
  </si>
  <si>
    <t>WB02</t>
  </si>
  <si>
    <t>WB03</t>
  </si>
  <si>
    <t>WB04</t>
  </si>
  <si>
    <t>WB05</t>
  </si>
  <si>
    <t>WB06</t>
  </si>
  <si>
    <t>WB07</t>
  </si>
  <si>
    <t>WB08</t>
  </si>
  <si>
    <t>WB09</t>
  </si>
  <si>
    <t>WB10</t>
  </si>
  <si>
    <t>WB11</t>
  </si>
  <si>
    <t>WB12</t>
  </si>
  <si>
    <t>WB13</t>
  </si>
  <si>
    <t>WB14</t>
  </si>
  <si>
    <t>WB15</t>
  </si>
  <si>
    <t>WB16</t>
  </si>
  <si>
    <t>WB17</t>
  </si>
  <si>
    <t>WB18</t>
  </si>
  <si>
    <t>WB19</t>
  </si>
  <si>
    <t>WB20</t>
  </si>
  <si>
    <t>WB21</t>
  </si>
  <si>
    <t>WB22</t>
  </si>
  <si>
    <t>WB23</t>
  </si>
  <si>
    <t>WB24</t>
  </si>
  <si>
    <t>WB25</t>
  </si>
  <si>
    <t>WB26</t>
  </si>
  <si>
    <t>WB27</t>
  </si>
  <si>
    <t>WB28</t>
  </si>
  <si>
    <t>WB29</t>
  </si>
  <si>
    <t>WB30</t>
  </si>
  <si>
    <t>WB31</t>
  </si>
  <si>
    <t>WB32</t>
  </si>
  <si>
    <t>WB33</t>
  </si>
  <si>
    <t>WB34</t>
  </si>
  <si>
    <t>WB35</t>
  </si>
  <si>
    <t>WB36</t>
  </si>
  <si>
    <t>WB37</t>
  </si>
  <si>
    <t>WB38</t>
  </si>
  <si>
    <t>WB39</t>
  </si>
  <si>
    <t>WB40</t>
  </si>
  <si>
    <t>WB41</t>
  </si>
  <si>
    <t>WB42</t>
  </si>
  <si>
    <t>WB43</t>
  </si>
  <si>
    <t>WB44</t>
  </si>
  <si>
    <t>WB45</t>
  </si>
  <si>
    <t>WB46</t>
  </si>
  <si>
    <t>WB47</t>
  </si>
  <si>
    <t>WB48</t>
  </si>
  <si>
    <t>WB49</t>
  </si>
  <si>
    <t>WB50</t>
  </si>
  <si>
    <t>WB51</t>
  </si>
  <si>
    <t>WB52</t>
  </si>
  <si>
    <t>WB53</t>
  </si>
  <si>
    <t>WB54</t>
  </si>
  <si>
    <t>WB55</t>
  </si>
  <si>
    <t>WB56</t>
  </si>
  <si>
    <t>WB57</t>
  </si>
  <si>
    <t>WB58</t>
  </si>
  <si>
    <t>WB59</t>
  </si>
  <si>
    <t>WB60</t>
  </si>
  <si>
    <t>WB61</t>
  </si>
  <si>
    <t>WB62</t>
  </si>
  <si>
    <t>WB63</t>
  </si>
  <si>
    <t>WB64</t>
  </si>
  <si>
    <t>WB65</t>
  </si>
  <si>
    <t>WB66</t>
  </si>
  <si>
    <t>WB67</t>
  </si>
  <si>
    <t>WB68</t>
  </si>
  <si>
    <t>WB69</t>
  </si>
  <si>
    <t>WB70</t>
  </si>
  <si>
    <t>WB71</t>
  </si>
  <si>
    <t>WB72</t>
  </si>
  <si>
    <t>WB73</t>
  </si>
  <si>
    <t>WB74</t>
  </si>
  <si>
    <t>WB75</t>
  </si>
  <si>
    <t>WB76</t>
  </si>
  <si>
    <t>WB77</t>
  </si>
  <si>
    <t>WB78</t>
  </si>
  <si>
    <t>WB79</t>
  </si>
  <si>
    <t>WB80</t>
  </si>
  <si>
    <t>Broekman</t>
  </si>
  <si>
    <t>M.J.G.M. Broekman</t>
  </si>
  <si>
    <t>max-1995@live.nl</t>
  </si>
  <si>
    <t>06-52875095</t>
  </si>
  <si>
    <t>Rijlabels</t>
  </si>
  <si>
    <t>(leeg)</t>
  </si>
  <si>
    <t>Eindtotaal</t>
  </si>
  <si>
    <t>Zanger</t>
  </si>
  <si>
    <t>D.J.M. de Zanger</t>
  </si>
  <si>
    <t>MENTOR</t>
  </si>
  <si>
    <t>Naomi van den Berg</t>
  </si>
  <si>
    <t>Sara van Duyn</t>
  </si>
  <si>
    <t>Agnieta Habben Jansen</t>
  </si>
  <si>
    <t>Ruben Huygen</t>
  </si>
  <si>
    <t>Elouise Reiff</t>
  </si>
  <si>
    <t>Menno Sonnema</t>
  </si>
  <si>
    <t>Jeroen Taen</t>
  </si>
  <si>
    <t>Thomas Frijters</t>
  </si>
  <si>
    <t>Sander Bregman</t>
  </si>
  <si>
    <t>Jeroen Brenkman</t>
  </si>
  <si>
    <t>Stefan Brilstra</t>
  </si>
  <si>
    <t>Dylan de Carvalho Cruz</t>
  </si>
  <si>
    <t>Koen de Clercq</t>
  </si>
  <si>
    <t>Sebastiaan van Didden</t>
  </si>
  <si>
    <t>Alex van Domburg</t>
  </si>
  <si>
    <t>Jacco Vos</t>
  </si>
  <si>
    <t>Lotte Grootveld</t>
  </si>
  <si>
    <t>Danny Hameeteman</t>
  </si>
  <si>
    <t>Sebastiaan Hekner</t>
  </si>
  <si>
    <t>Remy Kabel</t>
  </si>
  <si>
    <t>Olga Verburg</t>
  </si>
  <si>
    <t>Emal Kamal</t>
  </si>
  <si>
    <t>Laurens Kinkelaar</t>
  </si>
  <si>
    <t>Bart Koek</t>
  </si>
  <si>
    <t>Max van der Kolk</t>
  </si>
  <si>
    <t>Joep Kooijman</t>
  </si>
  <si>
    <t>Hasim Korkmaz</t>
  </si>
  <si>
    <t>Jelmer Kraaijeveld</t>
  </si>
  <si>
    <t>Arnoud Kramer</t>
  </si>
  <si>
    <t>Lucas Kramer</t>
  </si>
  <si>
    <t>Niels Marck</t>
  </si>
  <si>
    <t>Job Mensen</t>
  </si>
  <si>
    <t>Nicky Mol</t>
  </si>
  <si>
    <t>Koen Muller</t>
  </si>
  <si>
    <t>Tijn van Omme</t>
  </si>
  <si>
    <t>Sten Ouborg</t>
  </si>
  <si>
    <t>Berend Nootenboom</t>
  </si>
  <si>
    <t>Laurens Peene</t>
  </si>
  <si>
    <t>Robert Peuchen</t>
  </si>
  <si>
    <t>Wouter van Rijn</t>
  </si>
  <si>
    <t>Alice van Rixel</t>
  </si>
  <si>
    <t>Tim Schuit</t>
  </si>
  <si>
    <t>Lotte Spaargaren</t>
  </si>
  <si>
    <t>Jason Toelen</t>
  </si>
  <si>
    <t>Karel van Leeuwe</t>
  </si>
  <si>
    <t>Sander Vieveen</t>
  </si>
  <si>
    <t>Wouter Gregoor</t>
  </si>
  <si>
    <t>Jan van Willigen</t>
  </si>
  <si>
    <t>J.H. van Welsenes</t>
  </si>
  <si>
    <t>Kleingeld</t>
  </si>
  <si>
    <t>D.S. Kleingeld</t>
  </si>
  <si>
    <t>WERKCOLLEGEGROEP</t>
  </si>
  <si>
    <t>Keerkoppeling</t>
  </si>
  <si>
    <t>Kruishoofd</t>
  </si>
  <si>
    <t>Turbolader</t>
  </si>
  <si>
    <t>Cardanas</t>
  </si>
  <si>
    <t>Transmissie</t>
  </si>
  <si>
    <t>Stoterstang</t>
  </si>
  <si>
    <t>Spruitstuk</t>
  </si>
  <si>
    <t>Differentieel</t>
  </si>
  <si>
    <t>Homokineet</t>
  </si>
  <si>
    <t>Peterse</t>
  </si>
  <si>
    <t>Y. Peterse</t>
  </si>
  <si>
    <t>Yildirim</t>
  </si>
  <si>
    <t>Kurian</t>
  </si>
  <si>
    <t>K.K. Kurian</t>
  </si>
  <si>
    <t>Iram</t>
  </si>
  <si>
    <t>Saeed</t>
  </si>
  <si>
    <t>I. Saeed</t>
  </si>
  <si>
    <t>Aman</t>
  </si>
  <si>
    <t>Singh</t>
  </si>
  <si>
    <t>A. Singh</t>
  </si>
  <si>
    <t>gestopt MT11</t>
  </si>
  <si>
    <t>MT--</t>
  </si>
  <si>
    <t>gestopt WB52</t>
  </si>
  <si>
    <t>gestopt WB62</t>
  </si>
  <si>
    <t>WB--</t>
  </si>
  <si>
    <t>Cardona</t>
  </si>
  <si>
    <t>D.O. Cardona Gonzalez</t>
  </si>
  <si>
    <t>Breejen</t>
  </si>
  <si>
    <t>E.K. den Breejen</t>
  </si>
  <si>
    <t>Ewout</t>
  </si>
  <si>
    <t>0642121565</t>
  </si>
  <si>
    <t>H.J. van der Wal</t>
  </si>
  <si>
    <t>0638245639</t>
  </si>
  <si>
    <t>Hendrik</t>
  </si>
  <si>
    <t>Offerman</t>
  </si>
  <si>
    <t>J.M. Offerman</t>
  </si>
  <si>
    <t>0611864715</t>
  </si>
  <si>
    <t>Aantal van STNR</t>
  </si>
  <si>
    <t>drosati</t>
  </si>
  <si>
    <t>psengalrayan</t>
  </si>
  <si>
    <t>qdekker</t>
  </si>
  <si>
    <t>kguzel</t>
  </si>
  <si>
    <t>lrmhendriks</t>
  </si>
  <si>
    <t>michielnelisse</t>
  </si>
  <si>
    <t>jseegers</t>
  </si>
  <si>
    <t>kaanterunterun</t>
  </si>
  <si>
    <t>jverbruggen</t>
  </si>
  <si>
    <t>bvettorato</t>
  </si>
  <si>
    <t>gbroekhuis</t>
  </si>
  <si>
    <t>afeys</t>
  </si>
  <si>
    <t>joosthofman</t>
  </si>
  <si>
    <t>jjkoning</t>
  </si>
  <si>
    <t>jfdekort</t>
  </si>
  <si>
    <t>afreddingius</t>
  </si>
  <si>
    <t>ivanstaalduine</t>
  </si>
  <si>
    <t>mevenema</t>
  </si>
  <si>
    <t>ngoudberg</t>
  </si>
  <si>
    <t>chaakmat</t>
  </si>
  <si>
    <t>kevindehaas</t>
  </si>
  <si>
    <t>ghagen</t>
  </si>
  <si>
    <t>tlambregts</t>
  </si>
  <si>
    <t>mvannoorloos</t>
  </si>
  <si>
    <t>dreutlinger</t>
  </si>
  <si>
    <t>bvanveldhuizen</t>
  </si>
  <si>
    <t>ggvanbeek</t>
  </si>
  <si>
    <t>jsvanduijn</t>
  </si>
  <si>
    <t>matsklijn</t>
  </si>
  <si>
    <t>lmourik</t>
  </si>
  <si>
    <t>jpmuller</t>
  </si>
  <si>
    <t>joostenbroek</t>
  </si>
  <si>
    <t>hverhelst</t>
  </si>
  <si>
    <t>pvanvoorsttotv</t>
  </si>
  <si>
    <t>fvandieijen</t>
  </si>
  <si>
    <t>mmhoeksma</t>
  </si>
  <si>
    <t>maximejonker</t>
  </si>
  <si>
    <t>kvankoten</t>
  </si>
  <si>
    <t>tlienke</t>
  </si>
  <si>
    <t>tamartinus</t>
  </si>
  <si>
    <t>nmvandervliet</t>
  </si>
  <si>
    <t>mfgvonk</t>
  </si>
  <si>
    <t>wbotman</t>
  </si>
  <si>
    <t>rvaneden</t>
  </si>
  <si>
    <t>adegaaij</t>
  </si>
  <si>
    <t>dkleingeld</t>
  </si>
  <si>
    <t>jlotz</t>
  </si>
  <si>
    <t>poreilly</t>
  </si>
  <si>
    <t>btuinenburg</t>
  </si>
  <si>
    <t>tmverburgh</t>
  </si>
  <si>
    <t>rbvandergeest</t>
  </si>
  <si>
    <t>wvanherpen</t>
  </si>
  <si>
    <t>yhoff</t>
  </si>
  <si>
    <t>erkooij</t>
  </si>
  <si>
    <t>areumer</t>
  </si>
  <si>
    <t>bverton</t>
  </si>
  <si>
    <t>bvanzuijlen</t>
  </si>
  <si>
    <t>jzwaginga</t>
  </si>
  <si>
    <t>tbeinema</t>
  </si>
  <si>
    <t>pdeneerzamen</t>
  </si>
  <si>
    <t>kkarinaanggelia</t>
  </si>
  <si>
    <t>dvankessel</t>
  </si>
  <si>
    <t>tiememoens</t>
  </si>
  <si>
    <t>drenardeldelav</t>
  </si>
  <si>
    <t>dmdroos</t>
  </si>
  <si>
    <t>rwenink</t>
  </si>
  <si>
    <t>rdoekes</t>
  </si>
  <si>
    <t>jvankoesveld</t>
  </si>
  <si>
    <t>alengyel</t>
  </si>
  <si>
    <t>jakvanooijen</t>
  </si>
  <si>
    <t>mcjoverbeek</t>
  </si>
  <si>
    <t>jlepoole</t>
  </si>
  <si>
    <t>gtulling</t>
  </si>
  <si>
    <t>andredewit</t>
  </si>
  <si>
    <t>kbensdorp</t>
  </si>
  <si>
    <t>mboekhout</t>
  </si>
  <si>
    <t>mvandenboogaar</t>
  </si>
  <si>
    <t>mborren</t>
  </si>
  <si>
    <t>ojacobs</t>
  </si>
  <si>
    <t>pmeester</t>
  </si>
  <si>
    <t>fsjouw</t>
  </si>
  <si>
    <t>tbestebreurtje</t>
  </si>
  <si>
    <t>mfbrandsma</t>
  </si>
  <si>
    <t>edenbreejen</t>
  </si>
  <si>
    <t>wfjvandergeest</t>
  </si>
  <si>
    <t>tjholewijn</t>
  </si>
  <si>
    <t>jestreng</t>
  </si>
  <si>
    <t>jkuipers2</t>
  </si>
  <si>
    <t>llanghorst</t>
  </si>
  <si>
    <t>mvanderleij</t>
  </si>
  <si>
    <t>dpap</t>
  </si>
  <si>
    <t>jrijnhart</t>
  </si>
  <si>
    <t>mrouwe</t>
  </si>
  <si>
    <t>esloetvanoldru</t>
  </si>
  <si>
    <t>dvanderheiden</t>
  </si>
  <si>
    <t>bobhillen</t>
  </si>
  <si>
    <t>ajhuijer</t>
  </si>
  <si>
    <t>dsjacobs</t>
  </si>
  <si>
    <t>rwderuiter</t>
  </si>
  <si>
    <t>ssinnema</t>
  </si>
  <si>
    <t>jtrouwen</t>
  </si>
  <si>
    <t>tbaijards</t>
  </si>
  <si>
    <t>khageman</t>
  </si>
  <si>
    <t>jmaartens</t>
  </si>
  <si>
    <t>escheffers</t>
  </si>
  <si>
    <t>jjaslobbe</t>
  </si>
  <si>
    <t>maversluis</t>
  </si>
  <si>
    <t>bdevisser</t>
  </si>
  <si>
    <t>elinedonkerslo</t>
  </si>
  <si>
    <t>zvanhijfte</t>
  </si>
  <si>
    <t>skeij</t>
  </si>
  <si>
    <t>hdemeester</t>
  </si>
  <si>
    <t>jseuren</t>
  </si>
  <si>
    <t>lvantongeren</t>
  </si>
  <si>
    <t>jiridevos</t>
  </si>
  <si>
    <t>mbicker</t>
  </si>
  <si>
    <t>pbijl</t>
  </si>
  <si>
    <t>martinvanderei</t>
  </si>
  <si>
    <t>dherlaar</t>
  </si>
  <si>
    <t>bjhoek</t>
  </si>
  <si>
    <t>pjoon</t>
  </si>
  <si>
    <t>cmeijjer</t>
  </si>
  <si>
    <t>tabeckers</t>
  </si>
  <si>
    <t>jmoti</t>
  </si>
  <si>
    <t>csprockel</t>
  </si>
  <si>
    <t>ksutopo</t>
  </si>
  <si>
    <t>sbaud</t>
  </si>
  <si>
    <t>michielvandenberg</t>
  </si>
  <si>
    <t>mbussemakers</t>
  </si>
  <si>
    <t>chengstanleych</t>
  </si>
  <si>
    <t>ddrubers</t>
  </si>
  <si>
    <t>igundogan</t>
  </si>
  <si>
    <t>jjeschke</t>
  </si>
  <si>
    <t>mkoker</t>
  </si>
  <si>
    <t>iamnad</t>
  </si>
  <si>
    <t>tvandenberk</t>
  </si>
  <si>
    <t>lhillerislambe</t>
  </si>
  <si>
    <t>jorikvanderlaa</t>
  </si>
  <si>
    <t>kpijnenburg</t>
  </si>
  <si>
    <t>gverbeeten</t>
  </si>
  <si>
    <t>jrvisscher</t>
  </si>
  <si>
    <t>mdewildt</t>
  </si>
  <si>
    <t>phblom</t>
  </si>
  <si>
    <t>jboukema</t>
  </si>
  <si>
    <t>tejvanderhoeve</t>
  </si>
  <si>
    <t>makoster</t>
  </si>
  <si>
    <t>dterkulve</t>
  </si>
  <si>
    <t>ttrentelman</t>
  </si>
  <si>
    <t>mweijerman</t>
  </si>
  <si>
    <t>oyilmaz</t>
  </si>
  <si>
    <t>mhrbackx</t>
  </si>
  <si>
    <t>rchofman</t>
  </si>
  <si>
    <t>remydejong</t>
  </si>
  <si>
    <t>kkouzelis</t>
  </si>
  <si>
    <t>trobeerts</t>
  </si>
  <si>
    <t>hnderuiter</t>
  </si>
  <si>
    <t>hseversteeg</t>
  </si>
  <si>
    <t>bwvanderwal</t>
  </si>
  <si>
    <t>ldoornebosch</t>
  </si>
  <si>
    <t>rfris</t>
  </si>
  <si>
    <t>ovandenheuvel</t>
  </si>
  <si>
    <t>jcmkoot</t>
  </si>
  <si>
    <t>carlokranenbur</t>
  </si>
  <si>
    <t>alenederpel</t>
  </si>
  <si>
    <t>ttalsma</t>
  </si>
  <si>
    <t>karoenvanderwa</t>
  </si>
  <si>
    <t>ddgdenhartog</t>
  </si>
  <si>
    <t>mhondema</t>
  </si>
  <si>
    <t>skemmere</t>
  </si>
  <si>
    <t>nielsvanos</t>
  </si>
  <si>
    <t>smprins</t>
  </si>
  <si>
    <t>ileschmidt</t>
  </si>
  <si>
    <t>tswank</t>
  </si>
  <si>
    <t>rwaasdorp</t>
  </si>
  <si>
    <t>samierie</t>
  </si>
  <si>
    <t>pfaessen</t>
  </si>
  <si>
    <t>igavran</t>
  </si>
  <si>
    <t>bgeijtenbeek</t>
  </si>
  <si>
    <t>hhagouchi</t>
  </si>
  <si>
    <t>mkerkhof</t>
  </si>
  <si>
    <t>mljpeters</t>
  </si>
  <si>
    <t>mschoonhoven</t>
  </si>
  <si>
    <t>asharif</t>
  </si>
  <si>
    <t>baouragh</t>
  </si>
  <si>
    <t>jbakhuis</t>
  </si>
  <si>
    <t>madekker</t>
  </si>
  <si>
    <t>bobvandijk</t>
  </si>
  <si>
    <t>kvanekeren</t>
  </si>
  <si>
    <t>jmkingma</t>
  </si>
  <si>
    <t>ywesthoek</t>
  </si>
  <si>
    <t>bwitteveen</t>
  </si>
  <si>
    <t>sadams</t>
  </si>
  <si>
    <t>mdbesemer</t>
  </si>
  <si>
    <t>sbraadbaart</t>
  </si>
  <si>
    <t>ivandeneijnden</t>
  </si>
  <si>
    <t>lhavermans</t>
  </si>
  <si>
    <t>npang</t>
  </si>
  <si>
    <t>asogtoen</t>
  </si>
  <si>
    <t>lyoussifou</t>
  </si>
  <si>
    <t>tboot</t>
  </si>
  <si>
    <t>emcheung</t>
  </si>
  <si>
    <t>pengel</t>
  </si>
  <si>
    <t>rholder</t>
  </si>
  <si>
    <t>pkamp</t>
  </si>
  <si>
    <t>rmoens</t>
  </si>
  <si>
    <t>grojer</t>
  </si>
  <si>
    <t>tastrebus</t>
  </si>
  <si>
    <t>mvijlbrief</t>
  </si>
  <si>
    <t>lbazuin</t>
  </si>
  <si>
    <t>fatvandam</t>
  </si>
  <si>
    <t>agori</t>
  </si>
  <si>
    <t>esauveplanne</t>
  </si>
  <si>
    <t>brschrijver</t>
  </si>
  <si>
    <t>yvallenduuk</t>
  </si>
  <si>
    <t>swlvermeulen</t>
  </si>
  <si>
    <t>twubbe</t>
  </si>
  <si>
    <t>nzwanenburg</t>
  </si>
  <si>
    <t>jadelaar</t>
  </si>
  <si>
    <t>dfigueroateran</t>
  </si>
  <si>
    <t>rrgroenewegen</t>
  </si>
  <si>
    <t>javanthoff</t>
  </si>
  <si>
    <t>pjhogendoorn</t>
  </si>
  <si>
    <t>tkerstens</t>
  </si>
  <si>
    <t>anoukvisser</t>
  </si>
  <si>
    <t>ovollebregt</t>
  </si>
  <si>
    <t>djblaauw</t>
  </si>
  <si>
    <t>bblankenaar</t>
  </si>
  <si>
    <t>jboots</t>
  </si>
  <si>
    <t>gkoppes</t>
  </si>
  <si>
    <t>lnijdam</t>
  </si>
  <si>
    <t>jwarner</t>
  </si>
  <si>
    <t>chhvanderwerf</t>
  </si>
  <si>
    <t>lwigchert</t>
  </si>
  <si>
    <t>bvanast</t>
  </si>
  <si>
    <t>sberends</t>
  </si>
  <si>
    <t>luoqihu</t>
  </si>
  <si>
    <t>mijoosen</t>
  </si>
  <si>
    <t>klekkerkerk</t>
  </si>
  <si>
    <t>jtielgroeneste</t>
  </si>
  <si>
    <t>htijseling</t>
  </si>
  <si>
    <t>mwijnja</t>
  </si>
  <si>
    <t>tbertz</t>
  </si>
  <si>
    <t>lievebouwman</t>
  </si>
  <si>
    <t>sdhont</t>
  </si>
  <si>
    <t>keijgenraam</t>
  </si>
  <si>
    <t>jschorning</t>
  </si>
  <si>
    <t>rschrijen</t>
  </si>
  <si>
    <t>bwagemaker</t>
  </si>
  <si>
    <t>bwijsman</t>
  </si>
  <si>
    <t>pjbreedveld</t>
  </si>
  <si>
    <t>mcapkin</t>
  </si>
  <si>
    <t>kharteveld</t>
  </si>
  <si>
    <t>hhjvanderheijd</t>
  </si>
  <si>
    <t>fqlucas</t>
  </si>
  <si>
    <t>yrecillaspache</t>
  </si>
  <si>
    <t>hnhsterk</t>
  </si>
  <si>
    <t>luittenbroek</t>
  </si>
  <si>
    <t>lbijker</t>
  </si>
  <si>
    <t>cgurler</t>
  </si>
  <si>
    <t>jhoorneman</t>
  </si>
  <si>
    <t>diesmulder</t>
  </si>
  <si>
    <t>jmschepers</t>
  </si>
  <si>
    <t>dseegers</t>
  </si>
  <si>
    <t>bstolk</t>
  </si>
  <si>
    <t>vstuylingdelange</t>
  </si>
  <si>
    <t>damclaessens</t>
  </si>
  <si>
    <t>tedridge</t>
  </si>
  <si>
    <t>ajvandergraaf</t>
  </si>
  <si>
    <t>wouterhoek</t>
  </si>
  <si>
    <t>wjmhuygen</t>
  </si>
  <si>
    <t>sdenooy</t>
  </si>
  <si>
    <t>lstaats</t>
  </si>
  <si>
    <t>hzuidervaart</t>
  </si>
  <si>
    <t>rwvanbaren</t>
  </si>
  <si>
    <t>jcrompvoets</t>
  </si>
  <si>
    <t>raymondvandijv</t>
  </si>
  <si>
    <t>jjdijkstra</t>
  </si>
  <si>
    <t>jlardinois</t>
  </si>
  <si>
    <t>rmarcus</t>
  </si>
  <si>
    <t>amihalevschi</t>
  </si>
  <si>
    <t>koenverbruggen</t>
  </si>
  <si>
    <t>santonisse</t>
  </si>
  <si>
    <t>mbos4</t>
  </si>
  <si>
    <t>hhalilovic</t>
  </si>
  <si>
    <t>nvanhattum</t>
  </si>
  <si>
    <t>rjmhendriks</t>
  </si>
  <si>
    <t>bniele</t>
  </si>
  <si>
    <t>coprinsen</t>
  </si>
  <si>
    <t>eteunissen</t>
  </si>
  <si>
    <t>mrkaraujo</t>
  </si>
  <si>
    <t>amaurydebock</t>
  </si>
  <si>
    <t>lvandenboogaar</t>
  </si>
  <si>
    <t>abraemer</t>
  </si>
  <si>
    <t>cfritz</t>
  </si>
  <si>
    <t>ankeijser</t>
  </si>
  <si>
    <t>rickoskam</t>
  </si>
  <si>
    <t>lsteverink</t>
  </si>
  <si>
    <t>bbatist</t>
  </si>
  <si>
    <t>samelschot</t>
  </si>
  <si>
    <t>lhofhuis</t>
  </si>
  <si>
    <t>hvanderlende</t>
  </si>
  <si>
    <t>lmeeuwisse</t>
  </si>
  <si>
    <t>jdverhagen</t>
  </si>
  <si>
    <t>jvermeeren</t>
  </si>
  <si>
    <t>robvanvliet</t>
  </si>
  <si>
    <t>jboortman</t>
  </si>
  <si>
    <t>dbrison</t>
  </si>
  <si>
    <t>pmvanderburg</t>
  </si>
  <si>
    <t>whenkelman</t>
  </si>
  <si>
    <t>fhooft</t>
  </si>
  <si>
    <t>ahusic</t>
  </si>
  <si>
    <t>mmersie</t>
  </si>
  <si>
    <t>jverzendaal</t>
  </si>
  <si>
    <t>phuongvovo</t>
  </si>
  <si>
    <t>jhelmonds</t>
  </si>
  <si>
    <t>jidema</t>
  </si>
  <si>
    <t>mizarin</t>
  </si>
  <si>
    <t>bknottnerus</t>
  </si>
  <si>
    <t>jclmaliepaard</t>
  </si>
  <si>
    <t>mpesselse</t>
  </si>
  <si>
    <t>vstoeten</t>
  </si>
  <si>
    <t>gjtimmers</t>
  </si>
  <si>
    <t>nburbach</t>
  </si>
  <si>
    <t>bhajee</t>
  </si>
  <si>
    <t>pkeesmaat</t>
  </si>
  <si>
    <t>dleffelaar</t>
  </si>
  <si>
    <t>doudmaijer</t>
  </si>
  <si>
    <t>mjstolk</t>
  </si>
  <si>
    <t>mtheulings</t>
  </si>
  <si>
    <t>lwouterse</t>
  </si>
  <si>
    <t>lboogaart</t>
  </si>
  <si>
    <t>thesselmans</t>
  </si>
  <si>
    <t>kmlkoudstaal</t>
  </si>
  <si>
    <t>bkruissink</t>
  </si>
  <si>
    <t>ederanitz</t>
  </si>
  <si>
    <t>tsteenkamp</t>
  </si>
  <si>
    <t>rsunder</t>
  </si>
  <si>
    <t>ttjeenkwillink</t>
  </si>
  <si>
    <t>aattalki</t>
  </si>
  <si>
    <t>djjbbruggink</t>
  </si>
  <si>
    <t>noorvandriel</t>
  </si>
  <si>
    <t>cvandergeest</t>
  </si>
  <si>
    <t>athhilhorst</t>
  </si>
  <si>
    <t>ypeterse</t>
  </si>
  <si>
    <t>asoerdjbalie</t>
  </si>
  <si>
    <t>rensstigter</t>
  </si>
  <si>
    <t>yelyahyaoui</t>
  </si>
  <si>
    <t>jboetzkes</t>
  </si>
  <si>
    <t>jrijkeboer</t>
  </si>
  <si>
    <t>arijnhart</t>
  </si>
  <si>
    <t>mschuckman</t>
  </si>
  <si>
    <t>mfverboon</t>
  </si>
  <si>
    <t>mhverhoog</t>
  </si>
  <si>
    <t>fwesterhout</t>
  </si>
  <si>
    <t>mjdezeeuw</t>
  </si>
  <si>
    <t>kbouwmans</t>
  </si>
  <si>
    <t>mdeken</t>
  </si>
  <si>
    <t>kfierkens</t>
  </si>
  <si>
    <t>amcmvangils</t>
  </si>
  <si>
    <t>rvannamen</t>
  </si>
  <si>
    <t>rcsloof</t>
  </si>
  <si>
    <t>lverbaas</t>
  </si>
  <si>
    <t>pverweij</t>
  </si>
  <si>
    <t>dtbouwers</t>
  </si>
  <si>
    <t>lljgevers</t>
  </si>
  <si>
    <t>bartdegraaf</t>
  </si>
  <si>
    <t>timjonker</t>
  </si>
  <si>
    <t>jjakramer</t>
  </si>
  <si>
    <t>rkulling</t>
  </si>
  <si>
    <t>btulp</t>
  </si>
  <si>
    <t>sajvanwijk</t>
  </si>
  <si>
    <t>sdalblas</t>
  </si>
  <si>
    <t>sbalvert</t>
  </si>
  <si>
    <t>keesvandenberg</t>
  </si>
  <si>
    <t>wivandenbrink</t>
  </si>
  <si>
    <t>wdonders</t>
  </si>
  <si>
    <t>ejekel</t>
  </si>
  <si>
    <t>wrijpstra</t>
  </si>
  <si>
    <t>dschoorl</t>
  </si>
  <si>
    <t>dvanduijvenbod</t>
  </si>
  <si>
    <t>mcgraaf</t>
  </si>
  <si>
    <t>lhenderik</t>
  </si>
  <si>
    <t>jkerstens</t>
  </si>
  <si>
    <t>wrkok</t>
  </si>
  <si>
    <t>tskoster</t>
  </si>
  <si>
    <t>nlander</t>
  </si>
  <si>
    <t>pluik</t>
  </si>
  <si>
    <t>levidekker</t>
  </si>
  <si>
    <t>ihilverda</t>
  </si>
  <si>
    <t>dterhorst</t>
  </si>
  <si>
    <t>jnooren</t>
  </si>
  <si>
    <t>dratering</t>
  </si>
  <si>
    <t>djvanrooijen</t>
  </si>
  <si>
    <t>agvanderstar</t>
  </si>
  <si>
    <t>jelledevries</t>
  </si>
  <si>
    <t>amvanderaa</t>
  </si>
  <si>
    <t>lfijen</t>
  </si>
  <si>
    <t>jilleslangevel</t>
  </si>
  <si>
    <t>llipman</t>
  </si>
  <si>
    <t>gavanderveen</t>
  </si>
  <si>
    <t>kvanderwelle</t>
  </si>
  <si>
    <t>bdewinkel</t>
  </si>
  <si>
    <t>gwolbert</t>
  </si>
  <si>
    <t>abatchelor</t>
  </si>
  <si>
    <t>bartvaneeden</t>
  </si>
  <si>
    <t>jespergroenend</t>
  </si>
  <si>
    <t>sgurses</t>
  </si>
  <si>
    <t>mpjoudshoorn</t>
  </si>
  <si>
    <t>rsslot</t>
  </si>
  <si>
    <t>espeijer</t>
  </si>
  <si>
    <t>martijnvisser</t>
  </si>
  <si>
    <t>cxchu</t>
  </si>
  <si>
    <t>bfaas</t>
  </si>
  <si>
    <t>kkoelewijn</t>
  </si>
  <si>
    <t>lmikaellukerad</t>
  </si>
  <si>
    <t>bjmderuiter</t>
  </si>
  <si>
    <t>tstokbroeckx</t>
  </si>
  <si>
    <t>mauricethijssen</t>
  </si>
  <si>
    <t>justinvantil</t>
  </si>
  <si>
    <t>abrunt</t>
  </si>
  <si>
    <t>tbruschinski</t>
  </si>
  <si>
    <t>sdeklerk</t>
  </si>
  <si>
    <t>joostschootstr</t>
  </si>
  <si>
    <t>jsprong</t>
  </si>
  <si>
    <t>utodorovic</t>
  </si>
  <si>
    <t>jpverschelling</t>
  </si>
  <si>
    <t>jwijlens</t>
  </si>
  <si>
    <t>mhelmich</t>
  </si>
  <si>
    <t>tmmmol</t>
  </si>
  <si>
    <t>rnejal</t>
  </si>
  <si>
    <t>cspagnol</t>
  </si>
  <si>
    <t>psulyman</t>
  </si>
  <si>
    <t>hvader</t>
  </si>
  <si>
    <t>rverbruggen</t>
  </si>
  <si>
    <t>lverburg</t>
  </si>
  <si>
    <t>emdeboer</t>
  </si>
  <si>
    <t>lukeborst</t>
  </si>
  <si>
    <t>mvanduijvendij</t>
  </si>
  <si>
    <t>mmeuwissen</t>
  </si>
  <si>
    <t>dneijzen</t>
  </si>
  <si>
    <t>rperik</t>
  </si>
  <si>
    <t>vtedjawirja</t>
  </si>
  <si>
    <t>ptheuws</t>
  </si>
  <si>
    <t>jbackhausen</t>
  </si>
  <si>
    <t>jberlage</t>
  </si>
  <si>
    <t>rtodinkla</t>
  </si>
  <si>
    <t>bgijsbers</t>
  </si>
  <si>
    <t>jkodde</t>
  </si>
  <si>
    <t>voffereins</t>
  </si>
  <si>
    <t>jjsnoek</t>
  </si>
  <si>
    <t>fvanwieringen</t>
  </si>
  <si>
    <t>mmablom</t>
  </si>
  <si>
    <t>hdegoffau</t>
  </si>
  <si>
    <t>robertheemsker</t>
  </si>
  <si>
    <t>jjheetman</t>
  </si>
  <si>
    <t>avandenhoed</t>
  </si>
  <si>
    <t>mhondius</t>
  </si>
  <si>
    <t>ejongkees</t>
  </si>
  <si>
    <t>sverlinde</t>
  </si>
  <si>
    <t>madank</t>
  </si>
  <si>
    <t>fbuiduc</t>
  </si>
  <si>
    <t>ycinek</t>
  </si>
  <si>
    <t>mjorna</t>
  </si>
  <si>
    <t>hvandekamp</t>
  </si>
  <si>
    <t>bnederkoorn</t>
  </si>
  <si>
    <t>ssawyer</t>
  </si>
  <si>
    <t>ebartels</t>
  </si>
  <si>
    <t>sfrench</t>
  </si>
  <si>
    <t>pietervanderga</t>
  </si>
  <si>
    <t>dvanlaake</t>
  </si>
  <si>
    <t>jvanrossem</t>
  </si>
  <si>
    <t>jruesen</t>
  </si>
  <si>
    <t>lstuijt</t>
  </si>
  <si>
    <t>lznidarsic</t>
  </si>
  <si>
    <t>jdekens</t>
  </si>
  <si>
    <t>her</t>
  </si>
  <si>
    <t>mcfranken</t>
  </si>
  <si>
    <t>rhulskamp</t>
  </si>
  <si>
    <t>ckmkho</t>
  </si>
  <si>
    <t>wmarselje</t>
  </si>
  <si>
    <t>pieterpinson</t>
  </si>
  <si>
    <t>jhmzwart</t>
  </si>
  <si>
    <t>fgallagher</t>
  </si>
  <si>
    <t>wmheeringa</t>
  </si>
  <si>
    <t>dvanderkroft</t>
  </si>
  <si>
    <t>tlinnarz</t>
  </si>
  <si>
    <t>vvanrie</t>
  </si>
  <si>
    <t>jgschimmel</t>
  </si>
  <si>
    <t>raslingerland</t>
  </si>
  <si>
    <t>kvanderslot</t>
  </si>
  <si>
    <t>hbashir</t>
  </si>
  <si>
    <t>ieldoori</t>
  </si>
  <si>
    <t>gtenhave</t>
  </si>
  <si>
    <t>solde</t>
  </si>
  <si>
    <t>dylanspel</t>
  </si>
  <si>
    <t>itamturk</t>
  </si>
  <si>
    <t>jimtijdgat</t>
  </si>
  <si>
    <t>mzoon</t>
  </si>
  <si>
    <t>daanhaak</t>
  </si>
  <si>
    <t>jhamm</t>
  </si>
  <si>
    <t>sabineheijnen</t>
  </si>
  <si>
    <t>sterkuile</t>
  </si>
  <si>
    <t>kkurian</t>
  </si>
  <si>
    <t>rpanhuyzen</t>
  </si>
  <si>
    <t>tstinenbosch</t>
  </si>
  <si>
    <t>jwolfhagen</t>
  </si>
  <si>
    <t>iberkhout</t>
  </si>
  <si>
    <t>lbraam</t>
  </si>
  <si>
    <t>ferkelens</t>
  </si>
  <si>
    <t>jprheemskerk</t>
  </si>
  <si>
    <t>jkleinmentink</t>
  </si>
  <si>
    <t>hkooistra</t>
  </si>
  <si>
    <t>cpenning</t>
  </si>
  <si>
    <t>ezwolsman</t>
  </si>
  <si>
    <t>jpealkemade</t>
  </si>
  <si>
    <t>jdebles</t>
  </si>
  <si>
    <t>ljhvanderdrift</t>
  </si>
  <si>
    <t>kvangool</t>
  </si>
  <si>
    <t>jdluijkx</t>
  </si>
  <si>
    <t>tvandeminkelis</t>
  </si>
  <si>
    <t>jschots</t>
  </si>
  <si>
    <t>rmthe</t>
  </si>
  <si>
    <t>abanchaew</t>
  </si>
  <si>
    <t>jhjberendsen</t>
  </si>
  <si>
    <t>rmdekoning</t>
  </si>
  <si>
    <t>lvanderplas</t>
  </si>
  <si>
    <t>mvanpoelgeest</t>
  </si>
  <si>
    <t>scaroelen</t>
  </si>
  <si>
    <t>jjkvansenden</t>
  </si>
  <si>
    <t>bvanwezel</t>
  </si>
  <si>
    <t>vbizot</t>
  </si>
  <si>
    <t>spgrootscholte</t>
  </si>
  <si>
    <t>btgkoopmans</t>
  </si>
  <si>
    <t>devandermeer</t>
  </si>
  <si>
    <t>aoudijn</t>
  </si>
  <si>
    <t>tquadekker</t>
  </si>
  <si>
    <t>lveringmeier</t>
  </si>
  <si>
    <t>racverstegen</t>
  </si>
  <si>
    <t>docardonagonzalez</t>
  </si>
  <si>
    <t>ldania</t>
  </si>
  <si>
    <t>bggrashof</t>
  </si>
  <si>
    <t>chaafkes</t>
  </si>
  <si>
    <t>tvanheusden</t>
  </si>
  <si>
    <t>ohiemstra</t>
  </si>
  <si>
    <t>gfmjacobs</t>
  </si>
  <si>
    <t>tlscheffers</t>
  </si>
  <si>
    <t>guvenaydin</t>
  </si>
  <si>
    <t>mgritter</t>
  </si>
  <si>
    <t>taekedehaan</t>
  </si>
  <si>
    <t>sfdjonker</t>
  </si>
  <si>
    <t>ekuyt</t>
  </si>
  <si>
    <t>jjdmulder</t>
  </si>
  <si>
    <t>jvanniekerk</t>
  </si>
  <si>
    <t>mdepont</t>
  </si>
  <si>
    <t>tcbooij</t>
  </si>
  <si>
    <t>dbouwens</t>
  </si>
  <si>
    <t>bvanesser</t>
  </si>
  <si>
    <t>sfvanhouten</t>
  </si>
  <si>
    <t>ukalkan</t>
  </si>
  <si>
    <t>mlaban</t>
  </si>
  <si>
    <t>blaninga</t>
  </si>
  <si>
    <t>rveeger</t>
  </si>
  <si>
    <t>derbeek</t>
  </si>
  <si>
    <t>stefbeijk</t>
  </si>
  <si>
    <t>keesdejong</t>
  </si>
  <si>
    <t>fvanemmerik</t>
  </si>
  <si>
    <t>lkrijgsman</t>
  </si>
  <si>
    <t>nsaouti</t>
  </si>
  <si>
    <t>sstouten</t>
  </si>
  <si>
    <t>hmvanderwal</t>
  </si>
  <si>
    <t>cedekker</t>
  </si>
  <si>
    <t>rjhaan</t>
  </si>
  <si>
    <t>ghorasiccama</t>
  </si>
  <si>
    <t>maccvandenhurk</t>
  </si>
  <si>
    <t>jkoreman</t>
  </si>
  <si>
    <t>gramsoekh</t>
  </si>
  <si>
    <t>calvinvenema</t>
  </si>
  <si>
    <t>gwieme</t>
  </si>
  <si>
    <t>jjvanderham</t>
  </si>
  <si>
    <t>roosklaassen</t>
  </si>
  <si>
    <t>rkolff</t>
  </si>
  <si>
    <t>clock</t>
  </si>
  <si>
    <t>jemol</t>
  </si>
  <si>
    <t>hjvanderwal</t>
  </si>
  <si>
    <t>jvanderzaag</t>
  </si>
  <si>
    <t>gfvanzijl</t>
  </si>
  <si>
    <t>jhammerlaan</t>
  </si>
  <si>
    <t>jbargeman</t>
  </si>
  <si>
    <t>jbender</t>
  </si>
  <si>
    <t>jkruimer</t>
  </si>
  <si>
    <t>tvanloef</t>
  </si>
  <si>
    <t>bschelfaut</t>
  </si>
  <si>
    <t>ssiers</t>
  </si>
  <si>
    <t>bwagenaar</t>
  </si>
  <si>
    <t>idjordjevski</t>
  </si>
  <si>
    <t>jvanduffelen</t>
  </si>
  <si>
    <t>mkleinmeuleman</t>
  </si>
  <si>
    <t>mwfroos</t>
  </si>
  <si>
    <t>tschoute</t>
  </si>
  <si>
    <t>fmverburg</t>
  </si>
  <si>
    <t>jhvanwelsenes</t>
  </si>
  <si>
    <t>lfltwillems</t>
  </si>
  <si>
    <t>bbenist</t>
  </si>
  <si>
    <t>ldebie</t>
  </si>
  <si>
    <t>kdillmann</t>
  </si>
  <si>
    <t>mkorthalsaltes</t>
  </si>
  <si>
    <t>rnagtzaam</t>
  </si>
  <si>
    <t>troudevrielink</t>
  </si>
  <si>
    <t>robertosobhi</t>
  </si>
  <si>
    <t>daadewit</t>
  </si>
  <si>
    <t>svanderbijl</t>
  </si>
  <si>
    <t>yboekhout</t>
  </si>
  <si>
    <t>jbuwalda</t>
  </si>
  <si>
    <t>dhondeborg</t>
  </si>
  <si>
    <t>sjkempen</t>
  </si>
  <si>
    <t>njvanleeuwen</t>
  </si>
  <si>
    <t>jlogeman</t>
  </si>
  <si>
    <t>tpmeester</t>
  </si>
  <si>
    <t>vdros</t>
  </si>
  <si>
    <t>mgrootbeumer</t>
  </si>
  <si>
    <t>jclmhermans</t>
  </si>
  <si>
    <t>dulijn</t>
  </si>
  <si>
    <t>mverkou</t>
  </si>
  <si>
    <t>csdewit</t>
  </si>
  <si>
    <t>sdelfos</t>
  </si>
  <si>
    <t>jdirrix</t>
  </si>
  <si>
    <t>tvanengelshove</t>
  </si>
  <si>
    <t>cgrevet</t>
  </si>
  <si>
    <t>inuijts</t>
  </si>
  <si>
    <t>lukapeters</t>
  </si>
  <si>
    <t>qrademakers</t>
  </si>
  <si>
    <t>nsewgobind</t>
  </si>
  <si>
    <t>msvanadrichem</t>
  </si>
  <si>
    <t>jmvandenberg</t>
  </si>
  <si>
    <t>sfalkena</t>
  </si>
  <si>
    <t>dgorsse</t>
  </si>
  <si>
    <t>jhus</t>
  </si>
  <si>
    <t>dkluijver</t>
  </si>
  <si>
    <t>lsixmabaronvan</t>
  </si>
  <si>
    <t>mewieringa</t>
  </si>
  <si>
    <t>mal</t>
  </si>
  <si>
    <t>aalotmani</t>
  </si>
  <si>
    <t>mjgmbroekman</t>
  </si>
  <si>
    <t>cjvanduijn</t>
  </si>
  <si>
    <t>tkervers</t>
  </si>
  <si>
    <t>tdenijs</t>
  </si>
  <si>
    <t>vschmeits</t>
  </si>
  <si>
    <t>awitkamp</t>
  </si>
  <si>
    <t>hwynaendts</t>
  </si>
  <si>
    <t>hdalstra</t>
  </si>
  <si>
    <t>rutgerham</t>
  </si>
  <si>
    <t>pimmolenaar</t>
  </si>
  <si>
    <t>moldhoff</t>
  </si>
  <si>
    <t>oophof</t>
  </si>
  <si>
    <t>mras</t>
  </si>
  <si>
    <t>fvanvals</t>
  </si>
  <si>
    <t>lvogelaar</t>
  </si>
  <si>
    <t>ndommerholt</t>
  </si>
  <si>
    <t>evanharen</t>
  </si>
  <si>
    <t>broelofs</t>
  </si>
  <si>
    <t>rschreurs</t>
  </si>
  <si>
    <t>wslits</t>
  </si>
  <si>
    <t>fversluis</t>
  </si>
  <si>
    <t>twanamarta</t>
  </si>
  <si>
    <t>ddezanger</t>
  </si>
  <si>
    <t>tjammerlaan</t>
  </si>
  <si>
    <t>sgratamavanand</t>
  </si>
  <si>
    <t>adhazel</t>
  </si>
  <si>
    <t>qheesemans</t>
  </si>
  <si>
    <t>akloppenburg</t>
  </si>
  <si>
    <t>henriekramer</t>
  </si>
  <si>
    <t>jmofferman</t>
  </si>
  <si>
    <t>lvandervaart</t>
  </si>
  <si>
    <t>fbouman</t>
  </si>
  <si>
    <t>gdaswani</t>
  </si>
  <si>
    <t>lheunks</t>
  </si>
  <si>
    <t>matsmulder</t>
  </si>
  <si>
    <t>mcmulder</t>
  </si>
  <si>
    <t>adksingh</t>
  </si>
  <si>
    <t>etrumpie</t>
  </si>
  <si>
    <t>kvandervlist</t>
  </si>
  <si>
    <t>kgoorden</t>
  </si>
  <si>
    <t>slie</t>
  </si>
  <si>
    <t>phnguyen</t>
  </si>
  <si>
    <t>loortwijn</t>
  </si>
  <si>
    <t>froel</t>
  </si>
  <si>
    <t>isaeed</t>
  </si>
  <si>
    <t>bvanderscheer</t>
  </si>
  <si>
    <t>pvugts</t>
  </si>
  <si>
    <t>fboon</t>
  </si>
  <si>
    <t>iburgers</t>
  </si>
  <si>
    <t>tdeelstra</t>
  </si>
  <si>
    <t>jornevers</t>
  </si>
  <si>
    <t>dhensens</t>
  </si>
  <si>
    <t>mjvanderlinden</t>
  </si>
  <si>
    <t>robertvanwijk</t>
  </si>
  <si>
    <t>pbadaltjawdhar</t>
  </si>
  <si>
    <t>rcornet</t>
  </si>
  <si>
    <t>nhuisman</t>
  </si>
  <si>
    <t>majwjanssen</t>
  </si>
  <si>
    <t>akhalik</t>
  </si>
  <si>
    <t>mvanlangevelde</t>
  </si>
  <si>
    <t>fvanriessen</t>
  </si>
  <si>
    <t>muittenbogaard</t>
  </si>
  <si>
    <t>gblokland</t>
  </si>
  <si>
    <t>fhugenholtz</t>
  </si>
  <si>
    <t>jjagt</t>
  </si>
  <si>
    <t>eschrader</t>
  </si>
  <si>
    <t>tvansorge</t>
  </si>
  <si>
    <t>jhvanstraalen</t>
  </si>
  <si>
    <t>jmvanderzwet</t>
  </si>
  <si>
    <t>graboen</t>
  </si>
  <si>
    <t>mbom</t>
  </si>
  <si>
    <t>hpajansen</t>
  </si>
  <si>
    <t>djeurissen</t>
  </si>
  <si>
    <t>bkieft</t>
  </si>
  <si>
    <t>hmartens</t>
  </si>
  <si>
    <t>bovaa</t>
  </si>
  <si>
    <t>cdebeer</t>
  </si>
  <si>
    <t>jacroese</t>
  </si>
  <si>
    <t>dkoetsenruijte</t>
  </si>
  <si>
    <t>rlafkiri</t>
  </si>
  <si>
    <t>nneijmeijer</t>
  </si>
  <si>
    <t>mschoustra</t>
  </si>
  <si>
    <t>bspitz</t>
  </si>
  <si>
    <t>mphbecker</t>
  </si>
  <si>
    <t>jboelhouwers</t>
  </si>
  <si>
    <t>lgoosens</t>
  </si>
  <si>
    <t>woltheten</t>
  </si>
  <si>
    <t>dtetteroo</t>
  </si>
  <si>
    <t>rensvis</t>
  </si>
  <si>
    <t>hwaal</t>
  </si>
  <si>
    <t>lwaller</t>
  </si>
  <si>
    <t>rboekamp</t>
  </si>
  <si>
    <t>mdamoiseaux</t>
  </si>
  <si>
    <t>adasli</t>
  </si>
  <si>
    <t>thillen</t>
  </si>
  <si>
    <t>edekater</t>
  </si>
  <si>
    <t>sklevering</t>
  </si>
  <si>
    <t>asasteenkamp</t>
  </si>
  <si>
    <t>jtukker</t>
  </si>
  <si>
    <t>evablom</t>
  </si>
  <si>
    <t>rdinaux</t>
  </si>
  <si>
    <t>eckooi</t>
  </si>
  <si>
    <t>tykramer</t>
  </si>
  <si>
    <t>mrao</t>
  </si>
  <si>
    <t>nuitterdijk</t>
  </si>
  <si>
    <t>nwillemsen</t>
  </si>
  <si>
    <t>ydasli</t>
  </si>
  <si>
    <t>rfpgomes</t>
  </si>
  <si>
    <t>pgregoire</t>
  </si>
  <si>
    <t>jjakortekaas</t>
  </si>
  <si>
    <t>smanaber</t>
  </si>
  <si>
    <t>loldenzeel</t>
  </si>
  <si>
    <t>pjdvisser</t>
  </si>
  <si>
    <t>dvonk</t>
  </si>
  <si>
    <t>rmwiersema</t>
  </si>
  <si>
    <t>xvanardenne</t>
  </si>
  <si>
    <t>kvandamme</t>
  </si>
  <si>
    <t>fdursun</t>
  </si>
  <si>
    <t>fvaningen</t>
  </si>
  <si>
    <t>nharutten</t>
  </si>
  <si>
    <t>ksprokholt</t>
  </si>
  <si>
    <t>htuztasi</t>
  </si>
  <si>
    <t>NETID</t>
  </si>
  <si>
    <t>R.A. Blok</t>
  </si>
  <si>
    <t>gestopt</t>
  </si>
  <si>
    <t>hlambriex</t>
  </si>
  <si>
    <t>==&gt;&gt;</t>
  </si>
  <si>
    <t>jpeuling</t>
  </si>
  <si>
    <t>jjaeble</t>
  </si>
  <si>
    <t>Eble</t>
  </si>
  <si>
    <t>J.J.A. Eble</t>
  </si>
  <si>
    <t>gestopt WB75</t>
  </si>
  <si>
    <t>gestopt WB41</t>
  </si>
  <si>
    <t>gestopt WB06</t>
  </si>
  <si>
    <t>gestopt WB49</t>
  </si>
  <si>
    <t>gestopt MT10</t>
  </si>
  <si>
    <t>gestopt MT08</t>
  </si>
  <si>
    <t>Figueiras</t>
  </si>
  <si>
    <t>efigueiras</t>
  </si>
  <si>
    <t>E.M.J. Figueiras</t>
  </si>
  <si>
    <t>Eugene</t>
  </si>
  <si>
    <t>omzw MST</t>
  </si>
  <si>
    <t>tamijs</t>
  </si>
  <si>
    <t>Amijs</t>
  </si>
  <si>
    <t>T. Amijs</t>
  </si>
  <si>
    <t>Bellen</t>
  </si>
  <si>
    <t>L.A.H. van Bellen</t>
  </si>
  <si>
    <t>lvanbellen</t>
  </si>
  <si>
    <t>jerrykamer</t>
  </si>
  <si>
    <t>Kamer</t>
  </si>
  <si>
    <t>J. Kamer</t>
  </si>
  <si>
    <t>Jerry</t>
  </si>
  <si>
    <t>gestopt MT16</t>
  </si>
  <si>
    <t>gestopt MT14</t>
  </si>
  <si>
    <t>gestopt MT13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</si>
</sst>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\-yyyy"/>
  </numFmts>
  <fonts count="7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11"/>
      </patternFill>
    </fill>
    <fill>
      <patternFill patternType="solid">
        <fgColor indexed="65"/>
        <bgColor indexed="8"/>
      </patternFill>
    </fill>
    <fill>
      <patternFill patternType="solid">
        <fgColor rgb="FF92D050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theme="3" tint="0.39997558519241921"/>
        <bgColor indexed="8"/>
      </patternFill>
    </fill>
    <fill>
      <patternFill patternType="solid">
        <fgColor theme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1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4" borderId="0" xfId="0" applyFill="1" applyAlignment="1">
      <alignment horizontal="left"/>
    </xf>
    <xf numFmtId="0" fontId="0" fillId="0" borderId="0" xfId="0" quotePrefix="1" applyAlignment="1">
      <alignment horizontal="left"/>
    </xf>
    <xf numFmtId="0" fontId="1" fillId="0" borderId="0" xfId="1" applyAlignment="1">
      <alignment horizontal="left"/>
    </xf>
    <xf numFmtId="0" fontId="2" fillId="6" borderId="0" xfId="0" applyNumberFormat="1" applyFont="1" applyFill="1" applyBorder="1" applyAlignment="1">
      <alignment horizontal="left" vertical="center"/>
    </xf>
    <xf numFmtId="0" fontId="0" fillId="0" borderId="0" xfId="0" applyFont="1" applyBorder="1"/>
    <xf numFmtId="0" fontId="3" fillId="7" borderId="0" xfId="0" applyNumberFormat="1" applyFont="1" applyFill="1" applyBorder="1" applyAlignment="1">
      <alignment horizontal="left" vertical="center"/>
    </xf>
    <xf numFmtId="0" fontId="3" fillId="8" borderId="0" xfId="0" applyNumberFormat="1" applyFont="1" applyFill="1" applyBorder="1" applyAlignment="1">
      <alignment horizontal="left" vertical="center"/>
    </xf>
    <xf numFmtId="164" fontId="3" fillId="7" borderId="0" xfId="0" applyNumberFormat="1" applyFont="1" applyFill="1" applyBorder="1" applyAlignment="1">
      <alignment horizontal="left" vertical="center"/>
    </xf>
    <xf numFmtId="0" fontId="4" fillId="7" borderId="0" xfId="0" applyNumberFormat="1" applyFont="1" applyFill="1" applyBorder="1" applyAlignment="1">
      <alignment horizontal="left" vertical="center"/>
    </xf>
    <xf numFmtId="1" fontId="3" fillId="7" borderId="0" xfId="0" applyNumberFormat="1" applyFont="1" applyFill="1" applyBorder="1" applyAlignment="1">
      <alignment horizontal="left" vertical="center"/>
    </xf>
    <xf numFmtId="0" fontId="3" fillId="0" borderId="0" xfId="0" applyFont="1" applyBorder="1"/>
    <xf numFmtId="0" fontId="3" fillId="9" borderId="0" xfId="0" applyNumberFormat="1" applyFont="1" applyFill="1" applyBorder="1" applyAlignment="1">
      <alignment horizontal="left" vertical="center"/>
    </xf>
    <xf numFmtId="0" fontId="3" fillId="10" borderId="0" xfId="0" applyNumberFormat="1" applyFont="1" applyFill="1" applyBorder="1" applyAlignment="1">
      <alignment horizontal="left" vertical="center"/>
    </xf>
    <xf numFmtId="0" fontId="3" fillId="11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12" borderId="0" xfId="0" applyFont="1" applyFill="1" applyBorder="1"/>
    <xf numFmtId="0" fontId="3" fillId="0" borderId="0" xfId="0" applyFont="1" applyFill="1" applyBorder="1"/>
    <xf numFmtId="0" fontId="3" fillId="2" borderId="0" xfId="0" applyFont="1" applyFill="1" applyBorder="1"/>
    <xf numFmtId="0" fontId="3" fillId="5" borderId="0" xfId="0" applyFont="1" applyFill="1" applyBorder="1"/>
    <xf numFmtId="0" fontId="3" fillId="13" borderId="0" xfId="0" applyFont="1" applyFill="1" applyBorder="1"/>
    <xf numFmtId="0" fontId="0" fillId="2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0" fillId="2" borderId="0" xfId="0" applyNumberFormat="1" applyFill="1"/>
    <xf numFmtId="0" fontId="0" fillId="3" borderId="0" xfId="0" applyNumberFormat="1" applyFill="1"/>
    <xf numFmtId="0" fontId="0" fillId="2" borderId="0" xfId="0" applyFill="1"/>
    <xf numFmtId="0" fontId="0" fillId="3" borderId="0" xfId="0" applyFill="1"/>
    <xf numFmtId="0" fontId="0" fillId="3" borderId="0" xfId="0" quotePrefix="1" applyFill="1" applyAlignment="1">
      <alignment horizontal="right"/>
    </xf>
    <xf numFmtId="0" fontId="0" fillId="2" borderId="0" xfId="0" quotePrefix="1" applyFill="1" applyAlignment="1">
      <alignment horizontal="right"/>
    </xf>
    <xf numFmtId="0" fontId="0" fillId="0" borderId="0" xfId="0" applyAlignment="1">
      <alignment horizontal="left" indent="1"/>
    </xf>
    <xf numFmtId="0" fontId="0" fillId="5" borderId="0" xfId="0" applyFill="1"/>
  </cellXfs>
  <cellStyles count="2">
    <cellStyle name="Hyperlink" xfId="1" builtinId="8"/>
    <cellStyle name="Standaard" xfId="0" builtinId="0"/>
  </cellStyles>
  <dxfs count="4"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alignment horizontal="left" readingOrder="0"/>
    </dxf>
    <dxf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woud van Luik - 3ME" refreshedDate="41582.628679166664" createdVersion="4" refreshedVersion="4" minRefreshableVersion="3" recordCount="772">
  <cacheSource type="worksheet">
    <worksheetSource ref="A1:T1048576" sheet="1E JAARS VERSCHENEN"/>
  </cacheSource>
  <cacheFields count="20">
    <cacheField name="OPL" numFmtId="0">
      <sharedItems containsBlank="1" count="3">
        <s v="B-MT"/>
        <s v="B-WB"/>
        <m/>
      </sharedItems>
    </cacheField>
    <cacheField name="STNR" numFmtId="0">
      <sharedItems containsString="0" containsBlank="1" containsNumber="1" containsInteger="1" minValue="1527193" maxValue="4336658"/>
    </cacheField>
    <cacheField name="NETID" numFmtId="0">
      <sharedItems containsBlank="1"/>
    </cacheField>
    <cacheField name="NAAM" numFmtId="0">
      <sharedItems containsBlank="1"/>
    </cacheField>
    <cacheField name="VOLLEDIGE NAAM" numFmtId="0">
      <sharedItems containsBlank="1"/>
    </cacheField>
    <cacheField name="ROEPNAAM" numFmtId="0">
      <sharedItems containsBlank="1"/>
    </cacheField>
    <cacheField name="GROEP" numFmtId="0">
      <sharedItems containsBlank="1" count="99">
        <s v="MT--"/>
        <s v="MT01"/>
        <s v="MT02"/>
        <s v="MT03"/>
        <s v="MT04"/>
        <s v="MT05"/>
        <s v="MT06"/>
        <s v="MT07"/>
        <s v="MT08"/>
        <s v="MT09"/>
        <s v="MT10"/>
        <s v="MT11"/>
        <s v="MT12"/>
        <s v="MT13"/>
        <s v="MT14"/>
        <s v="MT15"/>
        <s v="MT16"/>
        <s v="WB--"/>
        <s v="WB01"/>
        <s v="WB02"/>
        <s v="WB03"/>
        <s v="WB04"/>
        <s v="WB05"/>
        <s v="WB06"/>
        <s v="WB07"/>
        <s v="WB08"/>
        <s v="WB09"/>
        <s v="WB10"/>
        <s v="WB11"/>
        <s v="WB12"/>
        <s v="WB13"/>
        <s v="WB14"/>
        <s v="WB15"/>
        <s v="WB16"/>
        <s v="WB17"/>
        <s v="WB18"/>
        <s v="WB19"/>
        <s v="WB20"/>
        <s v="WB21"/>
        <s v="WB22"/>
        <s v="WB23"/>
        <s v="WB24"/>
        <s v="WB25"/>
        <s v="WB26"/>
        <s v="WB27"/>
        <s v="WB28"/>
        <s v="WB29"/>
        <s v="WB30"/>
        <s v="WB31"/>
        <s v="WB32"/>
        <s v="WB33"/>
        <s v="WB34"/>
        <s v="WB35"/>
        <s v="WB36"/>
        <s v="WB37"/>
        <s v="WB38"/>
        <s v="WB39"/>
        <s v="WB40"/>
        <s v="WB41"/>
        <s v="WB42"/>
        <s v="WB43"/>
        <s v="WB44"/>
        <s v="WB45"/>
        <s v="WB46"/>
        <s v="WB47"/>
        <s v="WB48"/>
        <s v="WB49"/>
        <s v="WB50"/>
        <s v="WB51"/>
        <s v="WB52"/>
        <s v="WB53"/>
        <s v="WB54"/>
        <s v="WB55"/>
        <s v="WB56"/>
        <s v="WB57"/>
        <s v="WB58"/>
        <s v="WB59"/>
        <s v="WB60"/>
        <s v="WB61"/>
        <s v="WB62"/>
        <s v="WB63"/>
        <s v="WB64"/>
        <s v="WB65"/>
        <s v="WB66"/>
        <s v="WB67"/>
        <s v="WB68"/>
        <s v="WB69"/>
        <s v="WB70"/>
        <s v="WB71"/>
        <s v="WB72"/>
        <s v="WB73"/>
        <s v="WB74"/>
        <s v="WB75"/>
        <s v="WB76"/>
        <s v="WB77"/>
        <s v="WB78"/>
        <s v="WB79"/>
        <s v="WB80"/>
        <m/>
      </sharedItems>
    </cacheField>
    <cacheField name="WERKCOLLEGEGROEP" numFmtId="0">
      <sharedItems containsBlank="1"/>
    </cacheField>
    <cacheField name="MENTOR" numFmtId="0">
      <sharedItems containsBlank="1"/>
    </cacheField>
    <cacheField name="GEB.DATUM" numFmtId="0">
      <sharedItems containsNonDate="0" containsDate="1" containsString="0" containsBlank="1" minDate="1987-06-29T00:00:00" maxDate="1996-09-04T00:00:00"/>
    </cacheField>
    <cacheField name="NATIONALITEIT" numFmtId="0">
      <sharedItems containsBlank="1"/>
    </cacheField>
    <cacheField name="M/V" numFmtId="0">
      <sharedItems containsBlank="1"/>
    </cacheField>
    <cacheField name="ADRES" numFmtId="0">
      <sharedItems containsBlank="1"/>
    </cacheField>
    <cacheField name="PC PLAATS" numFmtId="0">
      <sharedItems containsBlank="1" containsMixedTypes="1" containsNumber="1" containsInteger="1" minValue="1050" maxValue="201206"/>
    </cacheField>
    <cacheField name="LAND" numFmtId="0">
      <sharedItems containsBlank="1"/>
    </cacheField>
    <cacheField name="E-MAIL" numFmtId="0">
      <sharedItems containsBlank="1"/>
    </cacheField>
    <cacheField name="MOBIEL" numFmtId="0">
      <sharedItems containsBlank="1" containsMixedTypes="1" containsNumber="1" containsInteger="1" minValue="-18682751165" maxValue="310624000000"/>
    </cacheField>
    <cacheField name="START TUD" numFmtId="0">
      <sharedItems containsString="0" containsBlank="1" containsNumber="1" containsInteger="1" minValue="2008" maxValue="2013"/>
    </cacheField>
    <cacheField name="OMZWAAI VAN" numFmtId="0">
      <sharedItems containsBlank="1" count="22">
        <s v="OMZW ET"/>
        <m/>
        <s v="OMZW LR"/>
        <s v="OMZW WB OMZW IO"/>
        <s v="OMZW TA"/>
        <s v="OMZW LR OMZW WB"/>
        <s v="OMZW WB"/>
        <s v="OMZW TB"/>
        <s v="OMZW MST"/>
        <s v="OMZW TA OMZW WB"/>
        <s v="OMZW CT"/>
        <s v="OMZW LR OMZW LST"/>
        <s v="OMZW IO"/>
        <s v="OMZW MT"/>
        <s v="OMZW TN"/>
        <s v="OMZW LR OMZW MT"/>
        <s v="OMZW TI"/>
        <s v="OMZW TB OMZW CT"/>
        <s v="OMZW BK"/>
        <s v="OMZW TW"/>
        <s v="2e jaars"/>
        <s v="OMZW BK OMZW TI"/>
      </sharedItems>
    </cacheField>
    <cacheField name="OPMERKINGE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2">
  <r>
    <x v="0"/>
    <n v="4220455"/>
    <s v="alengyel"/>
    <s v="Lengyel"/>
    <s v="A. Lengyel"/>
    <s v="Attila"/>
    <x v="0"/>
    <m/>
    <m/>
    <d v="1994-07-09T00:00:00"/>
    <s v="Nederlandse"/>
    <s v="M"/>
    <s v="Bostuin 11"/>
    <s v="7813 BR EMMEN"/>
    <s v="Nederland"/>
    <s v="attilal94@gmail.com"/>
    <n v="-652115293"/>
    <n v="2012"/>
    <x v="0"/>
    <s v="gestopt MT10"/>
  </r>
  <r>
    <x v="0"/>
    <n v="4323246"/>
    <s v="drenardeldelav"/>
    <s v="Renardel de Lavalette"/>
    <s v="D.H. Renardel de Lavalette"/>
    <s v="Diederik"/>
    <x v="0"/>
    <m/>
    <m/>
    <d v="1992-02-27T00:00:00"/>
    <s v="Nederlandse"/>
    <s v="M"/>
    <s v="Bergselaan 204 a"/>
    <s v="3037 CL ROTTERDAM"/>
    <s v="Nederland"/>
    <s v="diederikrenardel@hotmail.com"/>
    <n v="-649223926"/>
    <n v="2013"/>
    <x v="1"/>
    <s v="gestopt MT08"/>
  </r>
  <r>
    <x v="0"/>
    <n v="4276108"/>
    <s v="drosati"/>
    <s v="Rosati"/>
    <s v="D. Rosati"/>
    <s v="Daan"/>
    <x v="0"/>
    <m/>
    <m/>
    <d v="1994-01-25T00:00:00"/>
    <s v="Nederlandse"/>
    <s v="M"/>
    <s v="Hengstdalseweg 65"/>
    <s v="6523 EB NIJMEGEN"/>
    <s v="Nederland"/>
    <s v="rosati.daan@gmail.com"/>
    <n v="-3477082750"/>
    <n v="2013"/>
    <x v="1"/>
    <s v="gestopt MT11"/>
  </r>
  <r>
    <x v="0"/>
    <n v="4206525"/>
    <s v="psengalrayan"/>
    <s v="Sengalrayan"/>
    <s v="P.S. Sengalrayan"/>
    <s v="Patrick"/>
    <x v="0"/>
    <m/>
    <m/>
    <d v="1993-12-11T00:00:00"/>
    <s v="Nederlandse"/>
    <s v="M"/>
    <s v="Prof. Evertslaan 132"/>
    <s v="2628 XZ DELFT"/>
    <s v="Nederland"/>
    <s v="pat.sengalrayan@gmail.com"/>
    <n v="-619622062"/>
    <n v="2012"/>
    <x v="2"/>
    <s v="gestopt MT11"/>
  </r>
  <r>
    <x v="0"/>
    <n v="4318226"/>
    <s v="qdekker"/>
    <s v="Dekker"/>
    <s v="Q. Dekker"/>
    <s v="Quinten"/>
    <x v="1"/>
    <s v="Keerkoppeling"/>
    <s v="Naomi van den Berg"/>
    <d v="1995-09-17T00:00:00"/>
    <s v="Nederlandse"/>
    <s v="M"/>
    <s v="Verspronckweg 197"/>
    <s v="2023 BG HAARLEM"/>
    <s v="Nederland"/>
    <s v="quinten.dekker@gmail.com"/>
    <n v="-642860984"/>
    <n v="2013"/>
    <x v="1"/>
    <m/>
  </r>
  <r>
    <x v="0"/>
    <n v="4022114"/>
    <s v="kguzel"/>
    <s v="Güzel"/>
    <s v="K. Güzel"/>
    <s v="Kenan"/>
    <x v="1"/>
    <s v="Keerkoppeling"/>
    <s v="Naomi van den Berg"/>
    <d v="1988-08-07T00:00:00"/>
    <s v="Nederlandse"/>
    <s v="M"/>
    <s v="Jacoba van Beierenlaan 49"/>
    <s v="2613 HZ DELFT"/>
    <s v="Nederland"/>
    <s v="kenan.guzel.88@gmail.com"/>
    <n v="-681578679"/>
    <n v="2009"/>
    <x v="3"/>
    <m/>
  </r>
  <r>
    <x v="0"/>
    <n v="4320395"/>
    <s v="lrmhendriks"/>
    <s v="Hendriks"/>
    <s v="L.R.M. Hendriks"/>
    <s v="Lisanne"/>
    <x v="1"/>
    <s v="Keerkoppeling"/>
    <s v="Naomi van den Berg"/>
    <d v="1995-08-31T00:00:00"/>
    <s v="Nederlandse"/>
    <s v="V"/>
    <s v="Pergolesistraat 1"/>
    <s v="2901 PA CAPELLE AAN DEN IJSSEL"/>
    <s v="Nederland"/>
    <s v="pandalisanne@hotmail.com"/>
    <n v="-619099696"/>
    <n v="2013"/>
    <x v="1"/>
    <m/>
  </r>
  <r>
    <x v="0"/>
    <n v="4326121"/>
    <s v="michielnelisse"/>
    <s v="Nelissen"/>
    <s v="M.M. Nelissen"/>
    <s v="Michiel"/>
    <x v="1"/>
    <s v="Keerkoppeling"/>
    <s v="Naomi van den Berg"/>
    <d v="1995-06-04T00:00:00"/>
    <s v="Nederlandse"/>
    <s v="M"/>
    <s v="Andrej Sacharovstraat 28"/>
    <s v="3065 EC ROTTERDAM"/>
    <s v="Nederland"/>
    <s v="michiel_m_nelissen@hotmail.com"/>
    <n v="-612707300"/>
    <n v="2013"/>
    <x v="1"/>
    <m/>
  </r>
  <r>
    <x v="0"/>
    <n v="4219473"/>
    <s v="jseegers"/>
    <s v="Seegers"/>
    <s v="J.P. Seegers"/>
    <s v="Jeroen"/>
    <x v="1"/>
    <s v="Keerkoppeling"/>
    <s v="Naomi van den Berg"/>
    <d v="1994-06-07T00:00:00"/>
    <s v="Nederlandse"/>
    <s v="M"/>
    <s v="Lorentzweg 96"/>
    <s v="1223 HS HILVERSUM"/>
    <s v="Nederland"/>
    <s v="wseegers@kpnmail.nl"/>
    <n v="-655166890"/>
    <n v="2012"/>
    <x v="2"/>
    <m/>
  </r>
  <r>
    <x v="0"/>
    <n v="4233085"/>
    <s v="kaanterunterun"/>
    <s v="Terun"/>
    <s v="K. Terun"/>
    <s v="Kaan Terun"/>
    <x v="1"/>
    <s v="Keerkoppeling"/>
    <s v="Naomi van den Berg"/>
    <d v="1994-01-23T00:00:00"/>
    <s v="Italiaanse"/>
    <s v="M"/>
    <s v="Herman Gorterhof 163"/>
    <s v="2624 XL DELFT"/>
    <s v="Nederland"/>
    <s v="kaanterun@hotmail.com"/>
    <n v="-652881193"/>
    <n v="2013"/>
    <x v="1"/>
    <m/>
  </r>
  <r>
    <x v="0"/>
    <n v="4279875"/>
    <s v="jverbruggen"/>
    <s v="Verbruggen"/>
    <s v="J.J. Verbruggen"/>
    <s v="Johan"/>
    <x v="1"/>
    <s v="Keerkoppeling"/>
    <s v="Naomi van den Berg"/>
    <d v="1995-09-10T00:00:00"/>
    <s v="Nederlandse"/>
    <s v="M"/>
    <s v="Burg van Trichtlaan 112"/>
    <s v="3648 VK WILNIS"/>
    <s v="Nederland"/>
    <s v="jverbruggen8@gmail.com"/>
    <m/>
    <n v="2013"/>
    <x v="1"/>
    <m/>
  </r>
  <r>
    <x v="0"/>
    <n v="4294440"/>
    <s v="bvettorato"/>
    <s v="Vettorato"/>
    <s v="B.P.J. Vettorato"/>
    <s v="Boris"/>
    <x v="1"/>
    <s v="Keerkoppeling"/>
    <s v="Naomi van den Berg"/>
    <d v="1994-10-06T00:00:00"/>
    <s v="Nederlandse"/>
    <s v="M"/>
    <s v="Hoefslag 17"/>
    <s v="5109 TS 'S GRAVENMOER"/>
    <s v="Nederland"/>
    <s v="boris_vettorato@hotmail.com"/>
    <n v="-618848358"/>
    <n v="2013"/>
    <x v="1"/>
    <m/>
  </r>
  <r>
    <x v="0"/>
    <n v="4221990"/>
    <s v="gbroekhuis"/>
    <s v="Broekhuis"/>
    <s v="G.H.A. Broekhuis"/>
    <s v="Hilde"/>
    <x v="2"/>
    <s v="Keerkoppeling"/>
    <s v="Naomi van den Berg"/>
    <d v="1992-12-15T00:00:00"/>
    <s v="Nederlandse"/>
    <s v="V"/>
    <s v="Coenderstraat 1"/>
    <s v="2613 SM Delft"/>
    <s v="Nederland"/>
    <s v="hilde_broekhuis@hotmail.com"/>
    <s v="0640672664"/>
    <n v="2013"/>
    <x v="1"/>
    <s v="voor 2e semester 2012 gestopt"/>
  </r>
  <r>
    <x v="0"/>
    <n v="4303830"/>
    <s v="afeys"/>
    <s v="Feys"/>
    <s v="A.B.Z. Feys"/>
    <s v="Andreas"/>
    <x v="2"/>
    <s v="Keerkoppeling"/>
    <s v="Naomi van den Berg"/>
    <d v="1994-02-22T00:00:00"/>
    <s v="Belgische"/>
    <s v="M"/>
    <s v="Kerkhofblommenstraat 38"/>
    <s v="8310 Assbroek"/>
    <s v="België"/>
    <s v="andreas.feys@hotmail.com"/>
    <n v="-477046036"/>
    <n v="2013"/>
    <x v="1"/>
    <m/>
  </r>
  <r>
    <x v="0"/>
    <n v="4257367"/>
    <s v="joosthofman"/>
    <s v="Hofman"/>
    <s v="J. Hofman"/>
    <s v="Joost"/>
    <x v="2"/>
    <s v="Keerkoppeling"/>
    <s v="Naomi van den Berg"/>
    <d v="1988-08-22T00:00:00"/>
    <s v="Nederlandse"/>
    <s v="M"/>
    <s v="Burg van den Boschlaan 46"/>
    <s v="3956 DC LEERSUM"/>
    <s v="Nederland"/>
    <s v="joost_hofman@hotmail.com"/>
    <n v="-622843090"/>
    <n v="2012"/>
    <x v="4"/>
    <m/>
  </r>
  <r>
    <x v="0"/>
    <n v="4209079"/>
    <s v="jjkoning"/>
    <s v="Koning"/>
    <s v="J.J. Koning"/>
    <s v="Jasper"/>
    <x v="2"/>
    <s v="Keerkoppeling"/>
    <s v="Naomi van den Berg"/>
    <d v="1993-11-09T00:00:00"/>
    <s v="Nederlandse"/>
    <s v="M"/>
    <s v="Johannes Geradtsweg 146"/>
    <s v="1222 RA HILVERSUM"/>
    <s v="Nederland"/>
    <s v="jasperkoning@gmail.com"/>
    <n v="-681913146"/>
    <n v="2012"/>
    <x v="2"/>
    <m/>
  </r>
  <r>
    <x v="0"/>
    <n v="4302702"/>
    <s v="jfdekort"/>
    <s v="Kort"/>
    <s v="J.F. de Kort"/>
    <s v="Jasper"/>
    <x v="2"/>
    <s v="Keerkoppeling"/>
    <s v="Naomi van den Berg"/>
    <d v="1994-04-15T00:00:00"/>
    <s v="Nederlandse"/>
    <s v="M"/>
    <s v="Huijgenslaan 21"/>
    <s v="3818 WB AMERSFOORT"/>
    <s v="Nederland"/>
    <s v="jasperdkort@gmail.com"/>
    <n v="-639581354"/>
    <n v="2013"/>
    <x v="1"/>
    <m/>
  </r>
  <r>
    <x v="0"/>
    <n v="4304527"/>
    <s v="afreddingius"/>
    <s v="Reddingius"/>
    <s v="A.F. Reddingius"/>
    <s v="Antine"/>
    <x v="2"/>
    <s v="Keerkoppeling"/>
    <s v="Naomi van den Berg"/>
    <d v="1996-06-18T00:00:00"/>
    <s v="Nederlandse"/>
    <s v="V"/>
    <s v="Zwolseweg 123"/>
    <s v="7412 AD DEVENTER"/>
    <s v="Nederland"/>
    <s v="antine_reddingius@hotmail.com"/>
    <m/>
    <n v="2013"/>
    <x v="1"/>
    <m/>
  </r>
  <r>
    <x v="0"/>
    <n v="4299051"/>
    <s v="ivanstaalduine"/>
    <s v="Staalduinen"/>
    <s v="I. van Staalduinen"/>
    <s v="Inge"/>
    <x v="2"/>
    <s v="Keerkoppeling"/>
    <s v="Naomi van den Berg"/>
    <d v="1994-12-05T00:00:00"/>
    <s v="Nederlandse"/>
    <s v="V"/>
    <s v="Regulierenstraat 25"/>
    <s v="2694 BA 'S-GRAVENZANDE"/>
    <s v="Nederland"/>
    <s v="ingevanstaalduinen@hotmail.com"/>
    <m/>
    <n v="2013"/>
    <x v="1"/>
    <m/>
  </r>
  <r>
    <x v="0"/>
    <n v="4326059"/>
    <s v="mevenema"/>
    <s v="Venema"/>
    <s v="M.E. Venema"/>
    <s v="Menno"/>
    <x v="2"/>
    <s v="Keerkoppeling"/>
    <s v="Naomi van den Berg"/>
    <d v="1995-03-03T00:00:00"/>
    <s v="Nederlandse"/>
    <s v="M"/>
    <s v="Gerberasingel 86"/>
    <s v="2651 XZ BERKEL EN RODENRIJS"/>
    <s v="Nederland"/>
    <s v="menno3052al@hotmail.com"/>
    <n v="-642983827"/>
    <n v="2013"/>
    <x v="1"/>
    <m/>
  </r>
  <r>
    <x v="0"/>
    <n v="4327888"/>
    <s v="ngoudberg"/>
    <s v="Goudberg"/>
    <s v="N.D.R. Goudberg"/>
    <s v="Niels"/>
    <x v="3"/>
    <s v="Keerkoppeling"/>
    <s v="Sara van Duyn"/>
    <d v="1992-03-05T00:00:00"/>
    <s v="Nederlandse"/>
    <s v="M"/>
    <s v="Oranje Nassaulaan 2"/>
    <s v="3722 JM BILTHOVEN"/>
    <s v="Nederland"/>
    <s v="niels_goudberg@live.nl"/>
    <n v="-621428712"/>
    <n v="2013"/>
    <x v="1"/>
    <m/>
  </r>
  <r>
    <x v="0"/>
    <n v="4134796"/>
    <s v="chaakmat"/>
    <s v="Haakmat"/>
    <s v="C.C.E. Haakmat"/>
    <s v="Cyrus"/>
    <x v="3"/>
    <s v="Keerkoppeling"/>
    <s v="Sara van Duyn"/>
    <d v="1993-01-23T00:00:00"/>
    <s v="Nederlandse"/>
    <s v="M"/>
    <s v="J A Alberdingk Thijmstr 79"/>
    <s v="3117 RE SCHIEDAM"/>
    <s v="Nederland"/>
    <s v="cyrushaakmat@hotmail.com"/>
    <n v="-5255220"/>
    <n v="2011"/>
    <x v="5"/>
    <m/>
  </r>
  <r>
    <x v="0"/>
    <n v="4078780"/>
    <s v="kevindehaas"/>
    <s v="Haas"/>
    <s v="K. de Haas"/>
    <s v="Kevin"/>
    <x v="3"/>
    <s v="Keerkoppeling"/>
    <s v="Sara van Duyn"/>
    <d v="1991-07-22T00:00:00"/>
    <s v="Nederlandse"/>
    <s v="M"/>
    <s v="Balthasar van der Polweg 618"/>
    <s v="2628 ZH DELFT"/>
    <s v="Nederland"/>
    <s v="kevindehaas1@hotmail.com"/>
    <n v="-630806539"/>
    <n v="2010"/>
    <x v="5"/>
    <m/>
  </r>
  <r>
    <x v="0"/>
    <n v="4324803"/>
    <s v="ghagen"/>
    <s v="Hagen"/>
    <s v="G.R.C. Hagen"/>
    <s v="Gilles"/>
    <x v="3"/>
    <s v="Keerkoppeling"/>
    <s v="Sara van Duyn"/>
    <d v="1994-06-01T00:00:00"/>
    <s v="Nederlandse"/>
    <s v="M"/>
    <s v="Julianalaan 121"/>
    <s v="3722 GH BILTHOVEN"/>
    <s v="Nederland"/>
    <s v="gilleshagen@gmail.com"/>
    <n v="-681463479"/>
    <n v="2013"/>
    <x v="1"/>
    <m/>
  </r>
  <r>
    <x v="0"/>
    <n v="4317734"/>
    <s v="tlambregts"/>
    <s v="Lambregts"/>
    <s v="T.R. Lambregts"/>
    <s v="Taco"/>
    <x v="3"/>
    <s v="Keerkoppeling"/>
    <s v="Sara van Duyn"/>
    <d v="1995-06-16T00:00:00"/>
    <s v="Nederlandse"/>
    <s v="M"/>
    <s v="Middelweg 22"/>
    <s v="6584 AH MOLENHOEK LB"/>
    <s v="Nederland"/>
    <s v="tacolambregts@live.nl"/>
    <n v="-610755766"/>
    <n v="2013"/>
    <x v="1"/>
    <m/>
  </r>
  <r>
    <x v="0"/>
    <n v="4298675"/>
    <s v="mvannoorloos"/>
    <s v="Noorloos"/>
    <s v="M.J. van Noorloos"/>
    <s v="Maarten"/>
    <x v="3"/>
    <s v="Keerkoppeling"/>
    <s v="Sara van Duyn"/>
    <d v="1995-05-21T00:00:00"/>
    <s v="Nederlandse"/>
    <s v="M"/>
    <s v="Merelstraat 26"/>
    <s v="3362 RK SLIEDRECHT"/>
    <s v="Nederland"/>
    <s v="maartenvn@live.nl"/>
    <n v="-610688567"/>
    <n v="2013"/>
    <x v="1"/>
    <m/>
  </r>
  <r>
    <x v="0"/>
    <n v="4211456"/>
    <s v="dreutlinger"/>
    <s v="Reutlinger"/>
    <s v="D.C.J. Reutlinger"/>
    <s v="David"/>
    <x v="3"/>
    <s v="Keerkoppeling"/>
    <s v="Sara van Duyn"/>
    <d v="1994-01-24T00:00:00"/>
    <s v="Nederlandse"/>
    <s v="M"/>
    <s v="Frans van Mierisstraat 26 hs"/>
    <s v="1071 RT AMSTERDAM"/>
    <s v="Nederland"/>
    <s v="dcjreutlinger@gmail.com"/>
    <n v="-644159878"/>
    <n v="2012"/>
    <x v="6"/>
    <m/>
  </r>
  <r>
    <x v="0"/>
    <n v="4289072"/>
    <s v="bvanveldhuizen"/>
    <s v="Veldhuizen"/>
    <s v="B.N. van Veldhuizen"/>
    <s v="Berend"/>
    <x v="3"/>
    <s v="Keerkoppeling"/>
    <s v="Sara van Duyn"/>
    <d v="1996-03-12T00:00:00"/>
    <s v="Nederlandse"/>
    <s v="M"/>
    <s v="Albertine Agneslaan 47"/>
    <s v="6713 MP EDE GLD"/>
    <s v="Nederland"/>
    <s v="beertjuh@upcmail.nl"/>
    <n v="-634779179"/>
    <n v="2013"/>
    <x v="1"/>
    <m/>
  </r>
  <r>
    <x v="0"/>
    <n v="4335910"/>
    <s v="ggvanbeek"/>
    <s v="Beek"/>
    <s v="G.G. van Beek"/>
    <s v="Gijs"/>
    <x v="4"/>
    <s v="Keerkoppeling"/>
    <s v="Sara van Duyn"/>
    <d v="1994-01-30T00:00:00"/>
    <s v="Nederlandse"/>
    <s v="M"/>
    <s v="Buitenkamp 8"/>
    <s v="7214 BJ EPSE"/>
    <s v="Nederland"/>
    <s v="gijsgilles@gmail.com"/>
    <n v="-631767989"/>
    <n v="2013"/>
    <x v="1"/>
    <m/>
  </r>
  <r>
    <x v="0"/>
    <n v="4209273"/>
    <s v="jsvanduijn"/>
    <s v="Duijn"/>
    <s v="J.S. van Duijn"/>
    <s v="Joël"/>
    <x v="4"/>
    <s v="Keerkoppeling"/>
    <s v="Sara van Duyn"/>
    <d v="1993-11-24T00:00:00"/>
    <s v="Nederlandse"/>
    <s v="M"/>
    <s v="Louis Bouwmeesterstraat 18"/>
    <s v="1065 KW AMSTERDAM"/>
    <s v="Nederland"/>
    <s v="joelvanduijn@hotmail.com"/>
    <n v="-621420651"/>
    <n v="2012"/>
    <x v="6"/>
    <m/>
  </r>
  <r>
    <x v="0"/>
    <n v="4326814"/>
    <s v="matsklijn"/>
    <s v="Klijn"/>
    <s v="M. Klijn"/>
    <s v="Mats"/>
    <x v="4"/>
    <s v="Keerkoppeling"/>
    <s v="Sara van Duyn"/>
    <d v="1994-11-19T00:00:00"/>
    <s v="Nederlandse"/>
    <s v="M"/>
    <s v="Dominicanenlaan 3"/>
    <s v="2408 KH ALPHEN AAN DEN RIJN"/>
    <s v="Nederland"/>
    <s v="mats.klijn@live.com"/>
    <n v="-614219272"/>
    <n v="2013"/>
    <x v="1"/>
    <m/>
  </r>
  <r>
    <x v="0"/>
    <n v="4323580"/>
    <s v="lmourik"/>
    <s v="Mourik"/>
    <s v="L. Mourik"/>
    <s v="Laurens"/>
    <x v="4"/>
    <s v="Keerkoppeling"/>
    <s v="Sara van Duyn"/>
    <d v="1993-12-29T00:00:00"/>
    <s v="Nederlandse"/>
    <s v="M"/>
    <s v="Boreelstraat 31 A"/>
    <s v="3039 WH ROTTERDAM"/>
    <s v="Nederland"/>
    <s v="laurensmourik@hotmail.com"/>
    <n v="-612124570"/>
    <n v="2013"/>
    <x v="1"/>
    <m/>
  </r>
  <r>
    <x v="0"/>
    <n v="4290321"/>
    <s v="jpmuller"/>
    <s v="Muller"/>
    <s v="J.P. Muller"/>
    <s v="Jelle"/>
    <x v="4"/>
    <s v="Keerkoppeling"/>
    <s v="Sara van Duyn"/>
    <d v="1992-11-07T00:00:00"/>
    <s v="Nederlandse"/>
    <s v="M"/>
    <s v="Iepenlaan 5"/>
    <s v="8603 CE SNEEK"/>
    <s v="Nederland"/>
    <s v="jelle.muller@live.nl"/>
    <n v="-613326228"/>
    <n v="2013"/>
    <x v="1"/>
    <m/>
  </r>
  <r>
    <x v="0"/>
    <n v="4322142"/>
    <s v="joostenbroek"/>
    <s v="Oostenbroek"/>
    <s v="J. Oostenbroek"/>
    <s v="Jochem"/>
    <x v="4"/>
    <s v="Keerkoppeling"/>
    <s v="Sara van Duyn"/>
    <d v="1991-12-01T00:00:00"/>
    <s v="Nederlandse"/>
    <s v="M"/>
    <s v="'t Wijd 26"/>
    <s v="8531 RB LEMMER"/>
    <s v="Nederland"/>
    <s v="jochem189@hotmail.com"/>
    <n v="-652333921"/>
    <n v="2013"/>
    <x v="1"/>
    <m/>
  </r>
  <r>
    <x v="0"/>
    <n v="4293258"/>
    <s v="hverhelst"/>
    <s v="Verhelst"/>
    <s v="H.M. Verhelst"/>
    <s v="Hugo"/>
    <x v="4"/>
    <s v="Keerkoppeling"/>
    <s v="Sara van Duyn"/>
    <d v="1995-02-07T00:00:00"/>
    <s v="Nederlandse"/>
    <s v="M"/>
    <s v="Grootvenseweg 13"/>
    <s v="6603 AP WIJCHEN"/>
    <s v="Nederland"/>
    <s v="hugo.verhelst@inter.nl.net"/>
    <n v="-681597799"/>
    <n v="2013"/>
    <x v="1"/>
    <m/>
  </r>
  <r>
    <x v="0"/>
    <n v="4318692"/>
    <s v="pvanvoorsttotv"/>
    <s v="Voorst tot Voorst"/>
    <s v="P.P.E.M. van Voorst tot Voorst"/>
    <s v="Peter Paul"/>
    <x v="4"/>
    <s v="Keerkoppeling"/>
    <s v="Sara van Duyn"/>
    <d v="1993-07-23T00:00:00"/>
    <s v="Nederlandse"/>
    <s v="M"/>
    <s v="Koekoekslaan 1"/>
    <s v="5263 GJ VUGHT"/>
    <s v="Nederland"/>
    <s v="ppvanvoorst@hotmail.com"/>
    <n v="-617744981"/>
    <n v="2013"/>
    <x v="1"/>
    <m/>
  </r>
  <r>
    <x v="0"/>
    <n v="4273095"/>
    <s v="fvandieijen"/>
    <s v="Dieijen"/>
    <s v="F.C. van Dieijen"/>
    <s v="Felix"/>
    <x v="5"/>
    <s v="Keerkoppeling"/>
    <s v="Agnieta Habben Jansen"/>
    <d v="1993-07-25T00:00:00"/>
    <s v="Nederlandse"/>
    <s v="M"/>
    <s v="Oudraadtweg 11"/>
    <s v="2612 SL DELFT"/>
    <s v="Nederland"/>
    <s v="flix8@live.nl"/>
    <n v="-650999467"/>
    <n v="2012"/>
    <x v="6"/>
    <m/>
  </r>
  <r>
    <x v="0"/>
    <n v="4299701"/>
    <s v="mmhoeksma"/>
    <s v="Hoeksma"/>
    <s v="M.M. Hoeksma"/>
    <s v="Mees"/>
    <x v="5"/>
    <s v="Keerkoppeling"/>
    <s v="Agnieta Habben Jansen"/>
    <d v="1994-07-03T00:00:00"/>
    <s v="Nederlandse"/>
    <s v="M"/>
    <s v="Bloemendalergouw 42"/>
    <s v="1028 BJ AMSTERDAM"/>
    <s v="Nederland"/>
    <s v="meeshoeksma@hotmail.com"/>
    <n v="-648422793"/>
    <n v="2013"/>
    <x v="1"/>
    <m/>
  </r>
  <r>
    <x v="0"/>
    <n v="4260554"/>
    <s v="maximejonker"/>
    <s v="Jonker"/>
    <s v="M.J. Jonker"/>
    <s v="Maxime"/>
    <x v="5"/>
    <s v="Keerkoppeling"/>
    <s v="Agnieta Habben Jansen"/>
    <d v="1995-03-06T00:00:00"/>
    <s v="Nederlandse"/>
    <s v="V"/>
    <s v="Lindelaan 3"/>
    <s v="4043 MA OPHEUSDEN"/>
    <s v="Nederland"/>
    <s v="maximejonker@live.nl"/>
    <n v="-611580466"/>
    <n v="2012"/>
    <x v="7"/>
    <m/>
  </r>
  <r>
    <x v="0"/>
    <n v="4207785"/>
    <s v="kvankoten"/>
    <s v="Koten"/>
    <s v="K.C. van Koten"/>
    <s v="Koen"/>
    <x v="5"/>
    <s v="Keerkoppeling"/>
    <s v="Agnieta Habben Jansen"/>
    <d v="1993-08-10T00:00:00"/>
    <s v="Nederlandse"/>
    <s v="M"/>
    <s v="Westerstraat 37 b/c"/>
    <s v="2613 RE DELFT"/>
    <s v="Nederland"/>
    <s v="koenvankoten@hotmail.com"/>
    <n v="-619600595"/>
    <n v="2012"/>
    <x v="4"/>
    <m/>
  </r>
  <r>
    <x v="0"/>
    <n v="4141032"/>
    <s v="tlienke"/>
    <s v="Lienke"/>
    <s v="C.T. Lienke"/>
    <s v="Tim"/>
    <x v="5"/>
    <s v="Keerkoppeling"/>
    <s v="Agnieta Habben Jansen"/>
    <d v="1993-01-07T00:00:00"/>
    <s v="Burger Bondsrepubliek Duitsland"/>
    <s v="M"/>
    <s v="Fjorddal 4"/>
    <s v="3124 ND SCHIEDAM"/>
    <s v="Nederland"/>
    <s v="timlienke@gmail.com"/>
    <n v="-612631940"/>
    <n v="2011"/>
    <x v="6"/>
    <m/>
  </r>
  <r>
    <x v="0"/>
    <n v="4317343"/>
    <s v="tamartinus"/>
    <s v="Martinus"/>
    <s v="T.A. Martinus"/>
    <s v="Tom"/>
    <x v="5"/>
    <s v="Keerkoppeling"/>
    <s v="Agnieta Habben Jansen"/>
    <d v="1994-08-19T00:00:00"/>
    <s v="Nederlandse"/>
    <s v="M"/>
    <s v="Rietgans 4"/>
    <s v="7827 SP EMMEN"/>
    <s v="Nederland"/>
    <s v="tom.martinus@hotmail.com"/>
    <n v="-611773678"/>
    <n v="2013"/>
    <x v="1"/>
    <m/>
  </r>
  <r>
    <x v="0"/>
    <n v="4278216"/>
    <s v="nmvandervliet"/>
    <s v="Vliet"/>
    <s v="N.M. van der Vliet"/>
    <s v="Noud"/>
    <x v="5"/>
    <s v="Keerkoppeling"/>
    <s v="Agnieta Habben Jansen"/>
    <d v="1995-08-13T00:00:00"/>
    <s v="Nederlandse"/>
    <s v="M"/>
    <s v="Beukenlaan 34"/>
    <s v="6584 CR MOLENHOEK LB"/>
    <s v="Nederland"/>
    <s v="noudvandervliet@gmail.com"/>
    <n v="-650595304"/>
    <n v="2013"/>
    <x v="1"/>
    <m/>
  </r>
  <r>
    <x v="0"/>
    <n v="4287398"/>
    <s v="mfgvonk"/>
    <s v="Vonk"/>
    <s v="M.F.G. Vonk"/>
    <s v="Matthijs"/>
    <x v="5"/>
    <s v="Keerkoppeling"/>
    <s v="Agnieta Habben Jansen"/>
    <d v="1993-08-29T00:00:00"/>
    <s v="Nederlandse"/>
    <s v="M"/>
    <s v="Past. van Haarenstraat 69"/>
    <s v="5464 VE VEGHEL"/>
    <s v="Nederland"/>
    <s v="matthijs-vonk@hotmail.com"/>
    <n v="-651029532"/>
    <n v="2013"/>
    <x v="1"/>
    <m/>
  </r>
  <r>
    <x v="0"/>
    <n v="4279336"/>
    <s v="wbotman"/>
    <s v="Botman"/>
    <s v="W.J. Botman"/>
    <s v="Willemijn"/>
    <x v="6"/>
    <s v="Keerkoppeling"/>
    <s v="Agnieta Habben Jansen"/>
    <d v="1995-07-13T00:00:00"/>
    <s v="Nederlandse"/>
    <s v="V"/>
    <s v="Emmastraat 77"/>
    <s v="6828 HD ARNHEM"/>
    <s v="Nederland"/>
    <s v="willemijn_botman@hotmail.com"/>
    <n v="-634606744"/>
    <n v="2013"/>
    <x v="1"/>
    <m/>
  </r>
  <r>
    <x v="0"/>
    <n v="4292421"/>
    <s v="rvaneden"/>
    <s v="Eden"/>
    <s v="R. van Eden"/>
    <s v="Robert"/>
    <x v="6"/>
    <s v="Keerkoppeling"/>
    <s v="Agnieta Habben Jansen"/>
    <d v="1994-07-17T00:00:00"/>
    <s v="Nederlandse"/>
    <s v="M"/>
    <s v="Meerweg 20"/>
    <s v="2103 VC HEEMSTEDE"/>
    <s v="Nederland"/>
    <s v="rveden@hotmail.com"/>
    <n v="-638044442"/>
    <n v="2013"/>
    <x v="1"/>
    <m/>
  </r>
  <r>
    <x v="0"/>
    <n v="4293312"/>
    <s v="adegaaij"/>
    <s v="Gaaij"/>
    <s v="A.E. de Gaaij"/>
    <s v="Andreas"/>
    <x v="6"/>
    <s v="Keerkoppeling"/>
    <s v="Agnieta Habben Jansen"/>
    <d v="1995-02-09T00:00:00"/>
    <s v="Nederlandse"/>
    <s v="M"/>
    <s v="Loskade 11"/>
    <s v="4331 HV MIDDELBURG"/>
    <s v="Nederland"/>
    <s v="andreasnice@hotmail.com"/>
    <m/>
    <n v="2013"/>
    <x v="1"/>
    <m/>
  </r>
  <r>
    <x v="0"/>
    <n v="4325680"/>
    <s v="dkleingeld"/>
    <s v="Kleingeld"/>
    <s v="D.S. Kleingeld"/>
    <s v="David"/>
    <x v="6"/>
    <s v="Keerkoppeling"/>
    <s v="Agnieta Habben Jansen"/>
    <d v="1994-07-29T00:00:00"/>
    <s v="Nederlandse"/>
    <s v="M"/>
    <s v="Loskade 11"/>
    <s v="4331 HV MIDDELBURG"/>
    <s v="Nederland"/>
    <s v="andreasnice@hotmail.com"/>
    <m/>
    <n v="2013"/>
    <x v="8"/>
    <m/>
  </r>
  <r>
    <x v="0"/>
    <n v="4292855"/>
    <s v="jlotz"/>
    <s v="Lotz"/>
    <s v="J.E. Lotz"/>
    <s v="Jacob"/>
    <x v="6"/>
    <s v="Keerkoppeling"/>
    <s v="Agnieta Habben Jansen"/>
    <d v="1995-01-19T00:00:00"/>
    <s v="Nederlandse"/>
    <s v="M"/>
    <s v="Havenstraat 21"/>
    <s v="6701 CK WAGENINGEN"/>
    <s v="Nederland"/>
    <s v="jacob.lotz@planet.nl"/>
    <n v="-617484493"/>
    <n v="2013"/>
    <x v="1"/>
    <m/>
  </r>
  <r>
    <x v="0"/>
    <n v="4169735"/>
    <s v="poreilly"/>
    <s v="O'Reilly"/>
    <s v="P.A.E. O'Reilly"/>
    <s v="Peter"/>
    <x v="6"/>
    <s v="Keerkoppeling"/>
    <s v="Agnieta Habben Jansen"/>
    <d v="1992-08-10T00:00:00"/>
    <s v="Brits Burger"/>
    <s v="M"/>
    <s v="Broekweg 14"/>
    <s v="1785 Brussegem"/>
    <s v="België"/>
    <s v="paeoreilly@hotmail.com"/>
    <n v="-478385803"/>
    <n v="2012"/>
    <x v="2"/>
    <m/>
  </r>
  <r>
    <x v="0"/>
    <n v="4313879"/>
    <s v="btuinenburg"/>
    <s v="Tuinenburg"/>
    <s v="A.J. Tuinenburg"/>
    <s v="Bram"/>
    <x v="6"/>
    <s v="Keerkoppeling"/>
    <s v="Agnieta Habben Jansen"/>
    <d v="1995-02-05T00:00:00"/>
    <s v="Nederlandse"/>
    <s v="M"/>
    <s v="Oost Voorgors 95"/>
    <s v="3241 KD MIDDELHARNIS"/>
    <s v="Nederland"/>
    <s v="bram.bokkepoot@hotmail.com"/>
    <m/>
    <n v="2013"/>
    <x v="1"/>
    <m/>
  </r>
  <r>
    <x v="0"/>
    <n v="4307747"/>
    <s v="tmverburgh"/>
    <s v="Verburgh"/>
    <s v="T.M. Verburgh"/>
    <s v="Tijmen"/>
    <x v="6"/>
    <s v="Keerkoppeling"/>
    <s v="Agnieta Habben Jansen"/>
    <d v="1996-03-28T00:00:00"/>
    <s v="Nederlandse"/>
    <s v="M"/>
    <s v="Heemsteedse Dreef 46"/>
    <s v="2102 KL HEEMSTEDE"/>
    <s v="Nederland"/>
    <s v="tijmen_cool@hotmail.com"/>
    <n v="-650465921"/>
    <n v="2013"/>
    <x v="1"/>
    <m/>
  </r>
  <r>
    <x v="0"/>
    <n v="4250060"/>
    <s v="rbvandergeest"/>
    <s v="Geest"/>
    <s v="R.B. van der Geest"/>
    <s v="Rutger"/>
    <x v="7"/>
    <s v="Keerkoppeling"/>
    <s v="Ruben Huygen"/>
    <d v="1992-04-03T00:00:00"/>
    <s v="Nederlandse"/>
    <s v="M"/>
    <s v="Leidseweg 391"/>
    <s v="2253 JD VOORSCHOTEN"/>
    <s v="Nederland"/>
    <s v="rutgervdgeest@hotmail.com"/>
    <n v="-683054185"/>
    <n v="2012"/>
    <x v="6"/>
    <m/>
  </r>
  <r>
    <x v="0"/>
    <n v="4110447"/>
    <s v="wvanherpen"/>
    <s v="Herpen"/>
    <s v="W.J. van Herpen"/>
    <s v="Ward"/>
    <x v="7"/>
    <s v="Keerkoppeling"/>
    <s v="Ruben Huygen"/>
    <d v="1992-02-29T00:00:00"/>
    <s v="Nederlandse"/>
    <s v="M"/>
    <s v="Vrachelshofje 2"/>
    <s v="4904 TG OOSTERHOUT NB"/>
    <s v="Nederland"/>
    <s v="wardvanherpen@gmail.com"/>
    <n v="-624177660"/>
    <n v="2010"/>
    <x v="1"/>
    <m/>
  </r>
  <r>
    <x v="0"/>
    <n v="4319168"/>
    <s v="yhoff"/>
    <s v="Hoff"/>
    <s v="Y. Hoff"/>
    <s v="Yannick"/>
    <x v="7"/>
    <s v="Keerkoppeling"/>
    <s v="Ruben Huygen"/>
    <d v="1993-10-15T00:00:00"/>
    <s v="Nederlandse"/>
    <s v="M"/>
    <s v="Selfhelpweg 10"/>
    <s v="8607 AB SNEEK"/>
    <s v="Nederland"/>
    <s v="yannick_hoff_1@hotmail.com"/>
    <n v="-654684403"/>
    <n v="2013"/>
    <x v="1"/>
    <m/>
  </r>
  <r>
    <x v="0"/>
    <n v="4315154"/>
    <s v="erkooij"/>
    <s v="Kooij"/>
    <s v="E.R. Kooij"/>
    <s v="Egbert"/>
    <x v="7"/>
    <s v="Keerkoppeling"/>
    <s v="Ruben Huygen"/>
    <d v="1994-03-01T00:00:00"/>
    <s v="Nederlandse"/>
    <s v="M"/>
    <s v="Bretagnesingel 11"/>
    <s v="6666 XT HETEREN"/>
    <s v="Nederland"/>
    <s v="egbert.k@hotmail.com"/>
    <n v="-653994491"/>
    <n v="2013"/>
    <x v="1"/>
    <m/>
  </r>
  <r>
    <x v="0"/>
    <n v="4286553"/>
    <s v="areumer"/>
    <s v="Reumer"/>
    <s v="A. Reumer"/>
    <s v="Anne"/>
    <x v="7"/>
    <s v="Keerkoppeling"/>
    <s v="Ruben Huygen"/>
    <d v="1995-03-13T00:00:00"/>
    <s v="Nederlandse"/>
    <s v="V"/>
    <s v="Lisdoddelaan 37"/>
    <s v="3451 PL VLEUTEN"/>
    <s v="Nederland"/>
    <s v="annereumer@gmail.com"/>
    <n v="-630789984"/>
    <n v="2013"/>
    <x v="1"/>
    <m/>
  </r>
  <r>
    <x v="0"/>
    <n v="4270010"/>
    <s v="bverton"/>
    <s v="Verton"/>
    <s v="B. Verton"/>
    <s v="Bas"/>
    <x v="7"/>
    <s v="Keerkoppeling"/>
    <s v="Ruben Huygen"/>
    <d v="1993-06-19T00:00:00"/>
    <s v="Nederlandse"/>
    <s v="M"/>
    <s v="Primulatuin 2"/>
    <s v="2662 DA BERGSCHENHOEK"/>
    <s v="Nederland"/>
    <s v="bver93@gmail.com"/>
    <n v="-618492719"/>
    <n v="2013"/>
    <x v="1"/>
    <m/>
  </r>
  <r>
    <x v="0"/>
    <n v="4293576"/>
    <s v="bvanzuijlen"/>
    <s v="Zuijlen"/>
    <s v="I.P.L. van Zuijlen"/>
    <s v="Belle"/>
    <x v="7"/>
    <s v="Keerkoppeling"/>
    <s v="Ruben Huygen"/>
    <d v="1995-05-13T00:00:00"/>
    <s v="Nederlandse"/>
    <s v="V"/>
    <s v="Prinses Marielaan 22 Bussum"/>
    <s v="1405 EP BUSSUM"/>
    <s v="Nederland"/>
    <s v="belle95@live.nl"/>
    <n v="-642912646"/>
    <n v="2013"/>
    <x v="1"/>
    <m/>
  </r>
  <r>
    <x v="0"/>
    <n v="4272676"/>
    <s v="jzwaginga"/>
    <s v="Zwaginga"/>
    <s v="J.J. Zwaginga"/>
    <s v="Jesper"/>
    <x v="7"/>
    <s v="Keerkoppeling"/>
    <s v="Ruben Huygen"/>
    <d v="1994-09-30T00:00:00"/>
    <s v="Nederlandse"/>
    <s v="M"/>
    <s v="Muntstraat 185"/>
    <s v="2165 VZ LISSERBROEK"/>
    <s v="Nederland"/>
    <s v="j.j.zwaginga@quicknet.nl"/>
    <n v="-627571368"/>
    <n v="2013"/>
    <x v="1"/>
    <m/>
  </r>
  <r>
    <x v="0"/>
    <n v="4250206"/>
    <s v="tbeinema"/>
    <s v="Beinema"/>
    <s v="T.A. Beinema"/>
    <s v="Thomas"/>
    <x v="8"/>
    <s v="Keerkoppeling"/>
    <s v="Ruben Huygen"/>
    <d v="1993-06-10T00:00:00"/>
    <s v="Nederlandse"/>
    <s v="M"/>
    <s v="Eikendreef 83"/>
    <s v="6581 PC MALDEN"/>
    <s v="Nederland"/>
    <s v="thomas.beinema@gmail.com"/>
    <n v="-681115186"/>
    <n v="2012"/>
    <x v="6"/>
    <m/>
  </r>
  <r>
    <x v="0"/>
    <n v="4275284"/>
    <s v="pdeneerzamen"/>
    <s v="Eerzamen"/>
    <s v="F.P. den Eerzamen"/>
    <s v="Philip"/>
    <x v="8"/>
    <s v="Keerkoppeling"/>
    <s v="Ruben Huygen"/>
    <d v="1995-05-31T00:00:00"/>
    <s v="Nederlandse"/>
    <s v="M"/>
    <s v="Schoolstraat 23"/>
    <s v="3251 AX STELLENDAM"/>
    <s v="Nederland"/>
    <s v="vlaflip_deneerzamen@hotmail.com"/>
    <n v="-627905869"/>
    <n v="2013"/>
    <x v="1"/>
    <m/>
  </r>
  <r>
    <x v="0"/>
    <n v="4147200"/>
    <s v="kkarinaanggelia"/>
    <s v="Karina Anggelia"/>
    <s v=". Karina Anggelia"/>
    <s v="Karina"/>
    <x v="8"/>
    <s v="Keerkoppeling"/>
    <s v="Ruben Huygen"/>
    <d v="1992-06-14T00:00:00"/>
    <s v="Indonesische"/>
    <s v="V"/>
    <s v="Korvezeestraat 161"/>
    <s v="2628 DH DELFT"/>
    <s v="Nederland"/>
    <s v="karidanayam@live.com"/>
    <n v="-643878301"/>
    <n v="2011"/>
    <x v="9"/>
    <m/>
  </r>
  <r>
    <x v="0"/>
    <n v="4292456"/>
    <s v="dvankessel"/>
    <s v="Kessel"/>
    <s v="D.H. van Kessel"/>
    <s v="Daniël"/>
    <x v="8"/>
    <s v="Keerkoppeling"/>
    <s v="Ruben Huygen"/>
    <d v="1995-07-04T00:00:00"/>
    <s v="Nederlandse"/>
    <s v="M"/>
    <s v="Houtwijkerveld 64"/>
    <s v="2131 MJ HOOFDDORP"/>
    <s v="Nederland"/>
    <s v="danielvankessel@gmail.com"/>
    <n v="-641674468"/>
    <n v="2013"/>
    <x v="1"/>
    <m/>
  </r>
  <r>
    <x v="0"/>
    <n v="4302249"/>
    <s v="tiememoens"/>
    <s v="Moens"/>
    <s v="T. Moens"/>
    <s v="Tieme"/>
    <x v="8"/>
    <s v="Keerkoppeling"/>
    <s v="Ruben Huygen"/>
    <d v="1995-09-25T00:00:00"/>
    <s v="Nederlandse"/>
    <s v="M"/>
    <s v="Hoge Rijndijk 138"/>
    <s v="2313 KN LEIDEN"/>
    <s v="Nederland"/>
    <s v="tieme@giesmo.demon.nl"/>
    <n v="-611284956"/>
    <n v="2013"/>
    <x v="1"/>
    <m/>
  </r>
  <r>
    <x v="0"/>
    <n v="4292979"/>
    <s v="dmdroos"/>
    <s v="Roos"/>
    <s v="D.M.D. Roos"/>
    <s v="Daniëlle"/>
    <x v="8"/>
    <s v="Keerkoppeling"/>
    <s v="Ruben Huygen"/>
    <d v="1996-03-19T00:00:00"/>
    <s v="Nederlandse"/>
    <s v="V"/>
    <s v="Grotestraat 75"/>
    <s v="5821 AC VIERLINGSBEEK"/>
    <s v="Nederland"/>
    <s v="danielle_roos898@hotmail.com"/>
    <n v="-657934077"/>
    <n v="2013"/>
    <x v="1"/>
    <m/>
  </r>
  <r>
    <x v="0"/>
    <n v="4303636"/>
    <s v="rwenink"/>
    <s v="Wenink"/>
    <s v="R.C.T. Wenink"/>
    <s v="Robert"/>
    <x v="8"/>
    <s v="Keerkoppeling"/>
    <s v="Ruben Huygen"/>
    <d v="1995-03-12T00:00:00"/>
    <s v="Nederlandse"/>
    <s v="M"/>
    <s v="Ds J A Visserstraat 25"/>
    <s v="6988 AJ LATHUM"/>
    <s v="Nederland"/>
    <s v="robertwenink@gmail.com"/>
    <m/>
    <n v="2013"/>
    <x v="1"/>
    <m/>
  </r>
  <r>
    <x v="0"/>
    <n v="4289498"/>
    <s v="rdoekes"/>
    <s v="Doekes"/>
    <s v="R.A.P. Doekes"/>
    <s v="Roemer"/>
    <x v="9"/>
    <s v="Kruishoofd"/>
    <s v="Elouise Reiff"/>
    <d v="1994-04-18T00:00:00"/>
    <s v="Nederlandse"/>
    <s v="M"/>
    <s v="De Genestetweg 24"/>
    <s v="2061 VC BLOEMENDAAL"/>
    <s v="Nederland"/>
    <s v="roemer.doekes@quicknet.nl"/>
    <n v="-646072334"/>
    <n v="2013"/>
    <x v="1"/>
    <m/>
  </r>
  <r>
    <x v="0"/>
    <n v="4238591"/>
    <s v="jvankoesveld"/>
    <s v="Koesveld"/>
    <s v="J.H.W. van Koesveld"/>
    <s v="Jeroen"/>
    <x v="9"/>
    <s v="Kruishoofd"/>
    <s v="Elouise Reiff"/>
    <d v="1990-10-23T00:00:00"/>
    <s v="Nederlandse"/>
    <s v="M"/>
    <s v="Lisztstraat 25"/>
    <s v="2625 BJ DELFT"/>
    <s v="Nederland"/>
    <s v="jhwvankoesveld@gmail.com"/>
    <n v="-613049607"/>
    <n v="2012"/>
    <x v="6"/>
    <m/>
  </r>
  <r>
    <x v="0"/>
    <n v="4229614"/>
    <s v="jakvanooijen"/>
    <s v="Ooijen"/>
    <s v="J.A.K. van Ooijen"/>
    <s v="Jacob"/>
    <x v="9"/>
    <s v="Kruishoofd"/>
    <s v="Elouise Reiff"/>
    <d v="1993-01-24T00:00:00"/>
    <s v="Nederlandse"/>
    <s v="M"/>
    <s v="Willem Barentszlaan 74"/>
    <s v="2253 KB VOORSCHOTEN"/>
    <s v="Nederland"/>
    <s v="jacobvanooijen@gmail.com"/>
    <n v="-613760230"/>
    <n v="2012"/>
    <x v="6"/>
    <m/>
  </r>
  <r>
    <x v="0"/>
    <n v="4280105"/>
    <s v="mcjoverbeek"/>
    <s v="Overbeek"/>
    <s v="M.C.J. Overbeek"/>
    <s v="Mike"/>
    <x v="9"/>
    <s v="Kruishoofd"/>
    <s v="Elouise Reiff"/>
    <d v="1995-05-03T00:00:00"/>
    <s v="Nederlandse"/>
    <s v="M"/>
    <s v="Lopikerweg West 40"/>
    <s v="3411 AN LOPIK"/>
    <s v="Nederland"/>
    <s v="mikeoverbeek@hotmail.com"/>
    <n v="-629106849"/>
    <n v="2013"/>
    <x v="1"/>
    <m/>
  </r>
  <r>
    <x v="0"/>
    <n v="4288173"/>
    <s v="jlepoole"/>
    <s v="Poole"/>
    <s v="J.J. le Poole"/>
    <s v="Joan"/>
    <x v="9"/>
    <s v="Kruishoofd"/>
    <s v="Elouise Reiff"/>
    <d v="1994-10-20T00:00:00"/>
    <s v="Nederlandse"/>
    <s v="M"/>
    <s v="Parallelweg 47 b"/>
    <s v="4043 KH OPHEUSDEN"/>
    <s v="Nederland"/>
    <s v="joanlepoole@hotmail.com"/>
    <n v="-642326673"/>
    <n v="2013"/>
    <x v="1"/>
    <m/>
  </r>
  <r>
    <x v="0"/>
    <n v="4320476"/>
    <s v="gtulling"/>
    <s v="Tulling"/>
    <s v="G.M. Tulling"/>
    <s v="Gideon"/>
    <x v="9"/>
    <s v="Kruishoofd"/>
    <s v="Elouise Reiff"/>
    <d v="1995-08-23T00:00:00"/>
    <s v="Nederlandse"/>
    <s v="M"/>
    <s v="Berkenrijsweg 10"/>
    <s v="3233 KH OOSTVOORNE"/>
    <s v="Nederland"/>
    <s v="gtxnl@live.nl"/>
    <m/>
    <n v="2013"/>
    <x v="1"/>
    <m/>
  </r>
  <r>
    <x v="0"/>
    <n v="4334337"/>
    <s v="andredewit"/>
    <s v="Wit"/>
    <s v="A. de Wit"/>
    <s v="André"/>
    <x v="9"/>
    <s v="Kruishoofd"/>
    <s v="Elouise Reiff"/>
    <d v="1994-06-17T00:00:00"/>
    <s v="Nederlandse"/>
    <s v="M"/>
    <s v="Generaal Snijdersstraat 6"/>
    <s v="1171 HM BADHOEVEDORP"/>
    <s v="Nederland"/>
    <s v="dewitandre@hotmail.com"/>
    <n v="-643241728"/>
    <n v="2013"/>
    <x v="1"/>
    <m/>
  </r>
  <r>
    <x v="0"/>
    <n v="4318803"/>
    <s v="kbensdorp"/>
    <s v="Bensdorp"/>
    <s v="K.T.H. Bensdorp"/>
    <s v="Kars"/>
    <x v="10"/>
    <s v="Kruishoofd"/>
    <s v="Elouise Reiff"/>
    <d v="1994-08-10T00:00:00"/>
    <s v="Nederlandse"/>
    <s v="M"/>
    <s v="H.W. Iordensweg 67"/>
    <s v="7391 KD TWELLO"/>
    <s v="Nederland"/>
    <s v="karsbe@hotmail.com"/>
    <n v="-611085781"/>
    <n v="2013"/>
    <x v="1"/>
    <m/>
  </r>
  <r>
    <x v="0"/>
    <n v="4290445"/>
    <s v="mboekhout"/>
    <s v="Boekhout"/>
    <s v="M. Boekhout"/>
    <s v="Martijn"/>
    <x v="10"/>
    <s v="Kruishoofd"/>
    <s v="Elouise Reiff"/>
    <d v="1995-03-30T00:00:00"/>
    <s v="Nederlandse"/>
    <s v="M"/>
    <s v="Amerbos 17"/>
    <s v="1025 XX AMSTERDAM"/>
    <s v="Nederland"/>
    <s v="m.boekhout.wilde@gmail.com"/>
    <n v="-683659183"/>
    <n v="2013"/>
    <x v="1"/>
    <m/>
  </r>
  <r>
    <x v="0"/>
    <n v="4290348"/>
    <s v="mvandenboogaar"/>
    <s v="Boogaard"/>
    <s v="M.W. van den Boogaard"/>
    <s v="Maurits"/>
    <x v="10"/>
    <s v="Kruishoofd"/>
    <s v="Elouise Reiff"/>
    <d v="1995-05-14T00:00:00"/>
    <s v="Nederlandse"/>
    <s v="M"/>
    <s v="Vroenenbos 6"/>
    <s v="1500 Halle"/>
    <s v="België"/>
    <s v="maurits.vdboogaard@gmail.com"/>
    <n v="-84307549"/>
    <n v="2013"/>
    <x v="1"/>
    <m/>
  </r>
  <r>
    <x v="0"/>
    <n v="4298403"/>
    <s v="mborren"/>
    <s v="Borren"/>
    <s v="M.N. Borren"/>
    <s v="Marc"/>
    <x v="10"/>
    <s v="Kruishoofd"/>
    <s v="Elouise Reiff"/>
    <d v="1994-09-29T00:00:00"/>
    <s v="Nederlandse"/>
    <s v="M"/>
    <s v="Mr. P.J. Troelstraweg 86"/>
    <s v="8917 CS LEEUWARDEN"/>
    <s v="Nederland"/>
    <s v="marcborren@hotmail.com"/>
    <n v="-627465242"/>
    <n v="2013"/>
    <x v="1"/>
    <m/>
  </r>
  <r>
    <x v="0"/>
    <n v="4305213"/>
    <s v="ojacobs"/>
    <s v="Jacobs"/>
    <s v="O.C. Jacobs"/>
    <s v="Olav"/>
    <x v="10"/>
    <s v="Kruishoofd"/>
    <s v="Elouise Reiff"/>
    <d v="1994-11-28T00:00:00"/>
    <s v="Nederlandse"/>
    <s v="M"/>
    <s v="Arie de Zeeuwstraat 24"/>
    <s v="3065 PA ROTTERDAM"/>
    <s v="Nederland"/>
    <s v="olavcj@kpnplanet.nl"/>
    <n v="-614230797"/>
    <n v="2013"/>
    <x v="1"/>
    <m/>
  </r>
  <r>
    <x v="0"/>
    <n v="4283651"/>
    <s v="pmeester"/>
    <s v="Meester"/>
    <s v="P. Meester"/>
    <s v="Pim"/>
    <x v="10"/>
    <s v="Kruishoofd"/>
    <s v="Elouise Reiff"/>
    <d v="1994-04-04T00:00:00"/>
    <s v="Nederlandse"/>
    <s v="M"/>
    <s v="St. Vitusstraat 62"/>
    <s v="1211 PJ HILVERSUM"/>
    <s v="Nederland"/>
    <s v="pim_meester@hotmail.com"/>
    <n v="-610242112"/>
    <n v="2013"/>
    <x v="1"/>
    <m/>
  </r>
  <r>
    <x v="0"/>
    <n v="4319133"/>
    <s v="fsjouw"/>
    <s v="Sjouw"/>
    <s v="F. Sjouw"/>
    <s v="Freek"/>
    <x v="10"/>
    <s v="Kruishoofd"/>
    <s v="Elouise Reiff"/>
    <d v="1994-11-20T00:00:00"/>
    <s v="Nederlandse"/>
    <s v="M"/>
    <s v="Bachstraat 5"/>
    <s v="3223 TA HELLEVOETSLUIS"/>
    <s v="Nederland"/>
    <s v="freeks@live.nl"/>
    <n v="-614544833"/>
    <n v="2013"/>
    <x v="1"/>
    <m/>
  </r>
  <r>
    <x v="0"/>
    <n v="4227778"/>
    <s v="tbestebreurtje"/>
    <s v="Bestebreurtje"/>
    <s v="T.J. Bestebreurtje"/>
    <s v="Thijmen"/>
    <x v="11"/>
    <s v="Kruishoofd"/>
    <s v="Menno Sonnema"/>
    <d v="1994-06-21T00:00:00"/>
    <s v="Nederlandse"/>
    <s v="M"/>
    <s v="Gruttostraat 30"/>
    <s v="3222 BB HELLEVOETSLUIS"/>
    <s v="Nederland"/>
    <s v="thijmen_bestebreurtje@hotmail.com"/>
    <n v="-647586327"/>
    <n v="2012"/>
    <x v="6"/>
    <m/>
  </r>
  <r>
    <x v="0"/>
    <n v="4303814"/>
    <s v="mfbrandsma"/>
    <s v="Brandsma"/>
    <s v="M.F. Brandsma"/>
    <s v="Martijn"/>
    <x v="11"/>
    <s v="Kruishoofd"/>
    <s v="Menno Sonnema"/>
    <d v="1995-07-24T00:00:00"/>
    <s v="Nederlandse"/>
    <s v="M"/>
    <s v="Malusdreef 55"/>
    <s v="3137 BW VLAARDINGEN"/>
    <s v="Nederland"/>
    <s v="martijn.brandsma@planet.nl"/>
    <n v="-634847185"/>
    <n v="2013"/>
    <x v="1"/>
    <m/>
  </r>
  <r>
    <x v="0"/>
    <n v="4229118"/>
    <s v="edenbreejen"/>
    <s v="Breejen"/>
    <s v="E.K. den Breejen"/>
    <s v="Ewout"/>
    <x v="11"/>
    <s v="Kruishoofd"/>
    <s v="Menno Sonnema"/>
    <d v="1993-11-04T00:00:00"/>
    <s v="Nederlandse"/>
    <s v="M"/>
    <m/>
    <m/>
    <m/>
    <m/>
    <s v="0642121565"/>
    <n v="2012"/>
    <x v="10"/>
    <m/>
  </r>
  <r>
    <x v="0"/>
    <n v="4302958"/>
    <s v="wfjvandergeest"/>
    <s v="Geest"/>
    <s v="W.F.J. van der Geest"/>
    <s v="Wouter"/>
    <x v="11"/>
    <s v="Kruishoofd"/>
    <s v="Menno Sonnema"/>
    <d v="1994-11-11T00:00:00"/>
    <s v="Nederlandse"/>
    <s v="M"/>
    <s v="Briljantstraat 6"/>
    <s v="2332 HW LEIDEN"/>
    <s v="Nederland"/>
    <s v="wouter_geest@hotmail.com"/>
    <n v="-610481950"/>
    <n v="2013"/>
    <x v="1"/>
    <m/>
  </r>
  <r>
    <x v="0"/>
    <n v="4280318"/>
    <s v="tjholewijn"/>
    <s v="Holewijn"/>
    <s v="T.J. Holewijn"/>
    <s v="Thomas"/>
    <x v="11"/>
    <s v="Kruishoofd"/>
    <s v="Menno Sonnema"/>
    <d v="1995-03-28T00:00:00"/>
    <s v="Nederlandse"/>
    <s v="M"/>
    <s v="A.M. de Jongstraat 7"/>
    <s v="3245 RK SOMMELSDIJK"/>
    <s v="Nederland"/>
    <s v="thomas.holewijn@xs4all.nl"/>
    <n v="-644599912"/>
    <n v="2013"/>
    <x v="1"/>
    <m/>
  </r>
  <r>
    <x v="0"/>
    <n v="4222040"/>
    <s v="jpeuling"/>
    <s v="Peuling"/>
    <s v="J. Peuling"/>
    <s v="Jonathan"/>
    <x v="11"/>
    <s v="Kruishoofd"/>
    <s v="Menno Sonnema"/>
    <d v="1991-11-25T00:00:00"/>
    <m/>
    <s v="M"/>
    <m/>
    <m/>
    <m/>
    <m/>
    <m/>
    <n v="2012"/>
    <x v="2"/>
    <m/>
  </r>
  <r>
    <x v="0"/>
    <n v="4294653"/>
    <s v="jestreng"/>
    <s v="Streng"/>
    <s v="J.E. Streng"/>
    <s v="Jurjen"/>
    <x v="11"/>
    <s v="Kruishoofd"/>
    <s v="Menno Sonnema"/>
    <d v="1994-06-28T00:00:00"/>
    <s v="Nederlandse"/>
    <s v="M"/>
    <s v="Bieslookgaarde 17"/>
    <s v="2803 RC GOUDA"/>
    <s v="Nederland"/>
    <s v="jurjen.e.streng@live.nl"/>
    <n v="-623315369"/>
    <n v="2013"/>
    <x v="1"/>
    <m/>
  </r>
  <r>
    <x v="0"/>
    <n v="4210115"/>
    <s v="jkuipers2"/>
    <s v="Kuipers"/>
    <s v="J.R. Kuipers"/>
    <s v="Jarno"/>
    <x v="12"/>
    <s v="Kruishoofd"/>
    <s v="Menno Sonnema"/>
    <d v="1993-12-07T00:00:00"/>
    <s v="Nederlandse"/>
    <s v="M"/>
    <m/>
    <m/>
    <m/>
    <m/>
    <m/>
    <n v="2013"/>
    <x v="1"/>
    <s v="voor 2e semester 2012 gestopt"/>
  </r>
  <r>
    <x v="0"/>
    <n v="4299922"/>
    <s v="llanghorst"/>
    <s v="Langhorst"/>
    <s v="L.M. Langhorst"/>
    <s v="Lars"/>
    <x v="12"/>
    <s v="Kruishoofd"/>
    <s v="Menno Sonnema"/>
    <d v="1993-11-16T00:00:00"/>
    <s v="Nederlandse"/>
    <s v="M"/>
    <s v="De Vrijheidswerf 5"/>
    <s v="5247 MN ROSMALEN"/>
    <s v="Nederland"/>
    <s v="nederlander@live.com"/>
    <n v="-631768585"/>
    <n v="2013"/>
    <x v="1"/>
    <m/>
  </r>
  <r>
    <x v="0"/>
    <n v="4297490"/>
    <s v="mvanderleij"/>
    <s v="Leij"/>
    <s v="M. van der Leij"/>
    <s v="Maarten"/>
    <x v="12"/>
    <s v="Kruishoofd"/>
    <s v="Menno Sonnema"/>
    <d v="1995-04-22T00:00:00"/>
    <s v="Nederlandse"/>
    <s v="M"/>
    <s v="Eikenhorstweg 14"/>
    <s v="3762 DL SOEST"/>
    <s v="Nederland"/>
    <s v="maartenleij@hotmail.com"/>
    <n v="-611647851"/>
    <n v="2013"/>
    <x v="1"/>
    <m/>
  </r>
  <r>
    <x v="0"/>
    <n v="4272986"/>
    <s v="dpap"/>
    <s v="Pap"/>
    <s v="D.C. Pap"/>
    <s v="David"/>
    <x v="12"/>
    <s v="Kruishoofd"/>
    <s v="Menno Sonnema"/>
    <d v="1995-08-12T00:00:00"/>
    <s v="Nederlandse"/>
    <s v="M"/>
    <s v="Van Ravesteyn-erf 501"/>
    <s v="3315 DV DORDRECHT"/>
    <s v="Nederland"/>
    <s v="davidpap@live.nl"/>
    <n v="-634111963"/>
    <n v="2013"/>
    <x v="1"/>
    <m/>
  </r>
  <r>
    <x v="0"/>
    <n v="4319346"/>
    <s v="jrijnhart"/>
    <s v="Rijnhart"/>
    <s v="J.M. Rijnhart"/>
    <s v="Jelmer"/>
    <x v="12"/>
    <s v="Kruishoofd"/>
    <s v="Menno Sonnema"/>
    <d v="1995-03-31T00:00:00"/>
    <s v="Nederlandse"/>
    <s v="M"/>
    <s v="Gjalt de Jongstraat 27"/>
    <s v="9204 LJ DRACHTEN"/>
    <s v="Nederland"/>
    <s v="jelmer-rijnhart@hotmail.com"/>
    <n v="-646288091"/>
    <n v="2013"/>
    <x v="1"/>
    <m/>
  </r>
  <r>
    <x v="0"/>
    <n v="4231570"/>
    <s v="mrouwe"/>
    <s v="Rouwé"/>
    <s v="A.M. Rouwé"/>
    <s v="Machteld"/>
    <x v="12"/>
    <s v="Kruishoofd"/>
    <s v="Menno Sonnema"/>
    <d v="1993-12-09T00:00:00"/>
    <s v="Nederlandse"/>
    <s v="V"/>
    <s v="Van Beuningenstraat 23"/>
    <s v="2582 KG 'S-GRAVENHAGE"/>
    <s v="Nederland"/>
    <s v="machteldrouwe@hotmail.com"/>
    <n v="-612790184"/>
    <n v="2012"/>
    <x v="6"/>
    <m/>
  </r>
  <r>
    <x v="0"/>
    <n v="4295730"/>
    <s v="esloetvanoldru"/>
    <s v="Sloet van Oldruitenborgh"/>
    <s v="E.G. Sloet van Oldruitenborgh"/>
    <s v="Ellen"/>
    <x v="12"/>
    <s v="Kruishoofd"/>
    <s v="Menno Sonnema"/>
    <d v="1994-11-08T00:00:00"/>
    <s v="Nederlandse"/>
    <s v="V"/>
    <s v="Kees Boekelaan 8"/>
    <s v="3723 BA BILTHOVEN"/>
    <s v="Nederland"/>
    <s v="ellensloet@hotmail.com"/>
    <n v="-610535067"/>
    <n v="2013"/>
    <x v="1"/>
    <m/>
  </r>
  <r>
    <x v="0"/>
    <n v="4313771"/>
    <s v="dvanderheiden"/>
    <s v="Heiden"/>
    <s v="D.R. van der Heiden"/>
    <s v="Daan"/>
    <x v="13"/>
    <s v="Kruishoofd"/>
    <s v="Jeroen Taen"/>
    <d v="1994-05-19T00:00:00"/>
    <s v="Nederlandse"/>
    <s v="M"/>
    <s v="Prins Hendriklaan 11"/>
    <s v="2341 JA OEGSTGEEST"/>
    <s v="Nederland"/>
    <s v="daanrobert1994@hotmail.com"/>
    <m/>
    <n v="2013"/>
    <x v="1"/>
    <m/>
  </r>
  <r>
    <x v="0"/>
    <n v="4286715"/>
    <s v="bobhillen"/>
    <s v="Hillen"/>
    <s v="B. Hillen"/>
    <s v="Bob"/>
    <x v="13"/>
    <s v="Kruishoofd"/>
    <s v="Jeroen Taen"/>
    <d v="1994-07-20T00:00:00"/>
    <s v="Nederlandse"/>
    <s v="M"/>
    <s v="Kolderveen 35"/>
    <s v="7948 NG NIJEVEEN"/>
    <s v="Nederland"/>
    <s v="bob_hillen@live.nl"/>
    <n v="-630705189"/>
    <n v="2013"/>
    <x v="1"/>
    <m/>
  </r>
  <r>
    <x v="0"/>
    <n v="4268725"/>
    <s v="ajhuijer"/>
    <s v="Huijer"/>
    <s v="A.J. Huijer"/>
    <s v="Arno"/>
    <x v="13"/>
    <s v="Kruishoofd"/>
    <s v="Jeroen Taen"/>
    <d v="1995-03-03T00:00:00"/>
    <s v="Nederlandse"/>
    <s v="M"/>
    <s v="2e Schuytstraat 103 A"/>
    <s v="2517 XD 'S-GRAVENHAGE"/>
    <s v="Nederland"/>
    <s v="arno.jh@hotmail.com"/>
    <n v="-657211004"/>
    <n v="2013"/>
    <x v="1"/>
    <m/>
  </r>
  <r>
    <x v="0"/>
    <n v="4157133"/>
    <s v="dsjacobs"/>
    <s v="Jacobs"/>
    <s v="D.S. Jacobs"/>
    <s v="Dangui"/>
    <x v="13"/>
    <s v="Kruishoofd"/>
    <s v="Jeroen Taen"/>
    <d v="1988-09-24T00:00:00"/>
    <s v="Nederlandse"/>
    <s v="M"/>
    <s v="Molstraat 33"/>
    <s v="2611 EM DELFT"/>
    <s v="Nederland"/>
    <s v="d_jacobs88@hotmail.com"/>
    <n v="-681079842"/>
    <n v="2011"/>
    <x v="11"/>
    <m/>
  </r>
  <r>
    <x v="0"/>
    <n v="4301099"/>
    <s v="rwderuiter"/>
    <s v="Ruiter"/>
    <s v="R.W. de Ruiter"/>
    <s v="Ruben"/>
    <x v="13"/>
    <s v="Kruishoofd"/>
    <s v="Jeroen Taen"/>
    <d v="1995-09-25T00:00:00"/>
    <s v="Nederlandse"/>
    <s v="M"/>
    <s v="Dr de Visserlaan 18"/>
    <s v="1272 GX HUIZEN"/>
    <s v="Nederland"/>
    <s v="ruben.usa@hotmail.com"/>
    <n v="-650461588"/>
    <n v="2013"/>
    <x v="1"/>
    <m/>
  </r>
  <r>
    <x v="0"/>
    <n v="4246411"/>
    <s v="ssinnema"/>
    <s v="Sinnema"/>
    <s v="S.J. Sinnema"/>
    <s v="Sjoerd"/>
    <x v="13"/>
    <s v="Kruishoofd"/>
    <s v="Jeroen Taen"/>
    <d v="1992-07-29T00:00:00"/>
    <s v="Nederlandse"/>
    <s v="M"/>
    <s v="Noordersingel 84"/>
    <s v="8917 BB LEEUWARDEN"/>
    <s v="Nederland"/>
    <s v="sjoerdsinnema@hotmail.com"/>
    <n v="-646102755"/>
    <n v="2013"/>
    <x v="1"/>
    <m/>
  </r>
  <r>
    <x v="0"/>
    <n v="4299884"/>
    <s v="jtrouwen"/>
    <s v="Trouwen"/>
    <s v="J. Trouwen"/>
    <s v="Jeroen"/>
    <x v="13"/>
    <s v="Kruishoofd"/>
    <s v="Jeroen Taen"/>
    <d v="1995-01-18T00:00:00"/>
    <s v="Nederlandse"/>
    <s v="M"/>
    <s v="Zaanenlaan 154"/>
    <s v="2024 ZD HAARLEM"/>
    <s v="Nederland"/>
    <s v="jeroentrouwen@hotmail.com"/>
    <n v="-620351123"/>
    <n v="2013"/>
    <x v="1"/>
    <m/>
  </r>
  <r>
    <x v="0"/>
    <n v="4290593"/>
    <s v="tbaijards"/>
    <s v="Baijards"/>
    <s v="T.W. Baijards"/>
    <s v="Thies"/>
    <x v="14"/>
    <s v="Kruishoofd"/>
    <s v="Jeroen Taen"/>
    <d v="1995-01-04T00:00:00"/>
    <s v="Nederlandse"/>
    <s v="M"/>
    <s v="De Waterdief 86"/>
    <s v="1911 JT UITGEEST"/>
    <s v="Nederland"/>
    <s v="thieswiebe@hotmail.com"/>
    <n v="-634977936"/>
    <n v="2013"/>
    <x v="1"/>
    <m/>
  </r>
  <r>
    <x v="0"/>
    <n v="4227794"/>
    <s v="khageman"/>
    <s v="Hageman"/>
    <s v="K.L. Hageman"/>
    <s v="Koen"/>
    <x v="14"/>
    <s v="Kruishoofd"/>
    <s v="Jeroen Taen"/>
    <d v="1994-07-11T00:00:00"/>
    <s v="Nederlandse"/>
    <s v="M"/>
    <s v="Kastanjelaan 20"/>
    <s v="6581 PX MALDEN"/>
    <s v="Nederland"/>
    <s v="hageman.duenk@planet.nl"/>
    <n v="-620254591"/>
    <n v="2012"/>
    <x v="6"/>
    <m/>
  </r>
  <r>
    <x v="0"/>
    <n v="4318056"/>
    <s v="jmaartens"/>
    <s v="Maartens"/>
    <s v="J.B.A. Maartens"/>
    <s v="Jonas"/>
    <x v="14"/>
    <s v="Kruishoofd"/>
    <s v="Jeroen Taen"/>
    <d v="1995-03-16T00:00:00"/>
    <s v="Nederlandse"/>
    <s v="M"/>
    <s v="Van Bergenlaan 5"/>
    <s v="1901 JW CASTRICUM"/>
    <s v="Nederland"/>
    <s v="jonasmaartens@gmail.com"/>
    <n v="-681255115"/>
    <n v="2013"/>
    <x v="1"/>
    <m/>
  </r>
  <r>
    <x v="0"/>
    <n v="4293592"/>
    <s v="escheffers"/>
    <s v="Scheffers"/>
    <s v="E.L. Scheffers"/>
    <s v="Evelien"/>
    <x v="14"/>
    <s v="Kruishoofd"/>
    <s v="Jeroen Taen"/>
    <d v="1995-02-09T00:00:00"/>
    <s v="Nederlandse"/>
    <s v="V"/>
    <s v="Arnhemsebovenweg 141"/>
    <s v="3971 MD DRIEBERGEN-RIJSENBURG"/>
    <s v="Nederland"/>
    <s v="el_scheffers@hotmail.com"/>
    <n v="-641639227"/>
    <n v="2013"/>
    <x v="1"/>
    <m/>
  </r>
  <r>
    <x v="0"/>
    <n v="4297008"/>
    <s v="jjaslobbe"/>
    <s v="Slobbe"/>
    <s v="J.J.A. Slobbe"/>
    <s v="Jasper"/>
    <x v="14"/>
    <s v="Kruishoofd"/>
    <s v="Jeroen Taen"/>
    <d v="1995-06-13T00:00:00"/>
    <s v="Nederlandse"/>
    <s v="M"/>
    <s v="Lofoten 36"/>
    <s v="2721 JC ZOETERMEER"/>
    <s v="Nederland"/>
    <s v="jasperslobbe@hotmail.com"/>
    <n v="-650746610"/>
    <n v="2013"/>
    <x v="1"/>
    <m/>
  </r>
  <r>
    <x v="0"/>
    <n v="4312961"/>
    <s v="maversluis"/>
    <s v="Versluis"/>
    <s v="M.A. Versluis"/>
    <s v="Martijn"/>
    <x v="14"/>
    <s v="Kruishoofd"/>
    <s v="Jeroen Taen"/>
    <d v="1993-03-12T00:00:00"/>
    <s v="Nederlandse"/>
    <s v="M"/>
    <s v="Brugsestraat 69"/>
    <s v="2587 XR 'S-GRAVENHAGE"/>
    <s v="Nederland"/>
    <s v="martijnaversluis@cs.com"/>
    <n v="-657675742"/>
    <n v="2013"/>
    <x v="1"/>
    <m/>
  </r>
  <r>
    <x v="0"/>
    <n v="4320352"/>
    <s v="bdevisser"/>
    <s v="Visser"/>
    <s v="B. de Visser"/>
    <s v="Beer"/>
    <x v="14"/>
    <s v="Kruishoofd"/>
    <s v="Jeroen Taen"/>
    <d v="1995-01-17T00:00:00"/>
    <s v="Nederlandse"/>
    <s v="M"/>
    <s v="Mient 23"/>
    <s v="1901 AB CASTRICUM"/>
    <s v="Nederland"/>
    <s v="beer.devisser@hotmail.com"/>
    <n v="-612199015"/>
    <n v="2013"/>
    <x v="1"/>
    <m/>
  </r>
  <r>
    <x v="0"/>
    <n v="4321863"/>
    <s v="elinedonkerslo"/>
    <s v="Donkersloot"/>
    <s v="E. Donkersloot"/>
    <s v="Eline"/>
    <x v="15"/>
    <s v="Kruishoofd"/>
    <s v="Menno Sonnema"/>
    <d v="1995-08-17T00:00:00"/>
    <s v="Nederlandse"/>
    <s v="V"/>
    <s v="Wijerveldstraat 69A"/>
    <s v="3500 Hasselt"/>
    <s v="België"/>
    <s v="eline.donkersloot@skynet.be"/>
    <n v="-477999265"/>
    <n v="2013"/>
    <x v="1"/>
    <m/>
  </r>
  <r>
    <x v="0"/>
    <n v="4308727"/>
    <s v="zvanhijfte"/>
    <s v="Hijfte"/>
    <s v="Z.Z. van Hijfte"/>
    <s v="Zasha"/>
    <x v="15"/>
    <s v="Kruishoofd"/>
    <s v="Menno Sonnema"/>
    <d v="1994-01-16T00:00:00"/>
    <s v="Nederlandse"/>
    <s v="M"/>
    <s v="Emmalaan 4"/>
    <s v="3972 EZ DRIEBERGEN-RIJSENBURG"/>
    <s v="Nederland"/>
    <s v="zasha_van_hijfte@hotmail.com"/>
    <n v="-627927296"/>
    <n v="2013"/>
    <x v="1"/>
    <m/>
  </r>
  <r>
    <x v="0"/>
    <n v="4285654"/>
    <s v="skeij"/>
    <s v="Keij"/>
    <s v="S.R. Keij"/>
    <s v="Siemon"/>
    <x v="15"/>
    <s v="Kruishoofd"/>
    <s v="Menno Sonnema"/>
    <d v="1995-08-23T00:00:00"/>
    <s v="Nederlandse"/>
    <s v="M"/>
    <s v="F.C. Dondersstraat 9"/>
    <s v="1402 CE BUSSUM"/>
    <s v="Nederland"/>
    <s v="siemkeij@gmail.com"/>
    <n v="-612561930"/>
    <n v="2013"/>
    <x v="1"/>
    <m/>
  </r>
  <r>
    <x v="0"/>
    <n v="4281837"/>
    <s v="hdemeester"/>
    <s v="Meester"/>
    <s v="H.M.J. De Meester"/>
    <s v="Hadewich"/>
    <x v="15"/>
    <s v="Kruishoofd"/>
    <s v="Menno Sonnema"/>
    <d v="1995-05-04T00:00:00"/>
    <s v="Belgische"/>
    <s v="V"/>
    <s v="Driegaaienstraat 173"/>
    <s v="9100 Sint-Niklaas"/>
    <s v="België"/>
    <s v="driegaaien@skynet.be"/>
    <m/>
    <n v="2013"/>
    <x v="1"/>
    <m/>
  </r>
  <r>
    <x v="0"/>
    <n v="4289021"/>
    <s v="jseuren"/>
    <s v="Seuren"/>
    <s v="J.J. Seuren"/>
    <s v="Job"/>
    <x v="15"/>
    <s v="Kruishoofd"/>
    <s v="Menno Sonnema"/>
    <d v="1994-12-19T00:00:00"/>
    <s v="Nederlandse"/>
    <s v="M"/>
    <s v="Polderweg 6"/>
    <s v="4664 PB LEPELSTRAAT"/>
    <s v="Nederland"/>
    <s v="job.seuren@gmail.com"/>
    <n v="-682070002"/>
    <n v="2013"/>
    <x v="1"/>
    <m/>
  </r>
  <r>
    <x v="0"/>
    <n v="4282132"/>
    <s v="lvantongeren"/>
    <s v="Tongeren"/>
    <s v="L.J. van Tongeren"/>
    <s v="Lindert"/>
    <x v="15"/>
    <s v="Kruishoofd"/>
    <s v="Menno Sonnema"/>
    <d v="1994-01-12T00:00:00"/>
    <s v="Nederlandse"/>
    <s v="M"/>
    <s v="Leidseplein 2 haarlem"/>
    <s v="2013 PX HAARLEM"/>
    <s v="Nederland"/>
    <s v="lindert.van.tongeren@xs4all.nl"/>
    <n v="-639364269"/>
    <n v="2013"/>
    <x v="1"/>
    <m/>
  </r>
  <r>
    <x v="0"/>
    <n v="4316800"/>
    <s v="jiridevos"/>
    <s v="Vos"/>
    <s v="J. de Vos"/>
    <s v="Jiri"/>
    <x v="15"/>
    <s v="Kruishoofd"/>
    <s v="Menno Sonnema"/>
    <d v="1995-02-26T00:00:00"/>
    <s v="Nederlandse"/>
    <s v="M"/>
    <s v="Burgemeester Bickerstr 45"/>
    <s v="1111 CA DIEMEN"/>
    <s v="Nederland"/>
    <s v="jiridevos@gmail.com"/>
    <n v="-626737812"/>
    <n v="2013"/>
    <x v="1"/>
    <m/>
  </r>
  <r>
    <x v="0"/>
    <n v="4294939"/>
    <s v="mbicker"/>
    <s v="Bicker"/>
    <s v="M. Bicker"/>
    <s v="Michiel"/>
    <x v="16"/>
    <s v="Kruishoofd"/>
    <s v="Thomas Frijters"/>
    <d v="1994-10-10T00:00:00"/>
    <s v="Nederlandse"/>
    <s v="M"/>
    <s v="Merijntje Gijzenstraat 46"/>
    <s v="1507 RC ZAANDAM"/>
    <s v="Nederland"/>
    <s v="mbicker@live.nl"/>
    <n v="-612697719"/>
    <n v="2013"/>
    <x v="1"/>
    <m/>
  </r>
  <r>
    <x v="0"/>
    <n v="4295110"/>
    <s v="pbijl"/>
    <s v="Bijl"/>
    <s v="P. Bijl"/>
    <s v="Philip"/>
    <x v="16"/>
    <s v="Kruishoofd"/>
    <s v="Thomas Frijters"/>
    <d v="1995-08-18T00:00:00"/>
    <s v="Nederlandse"/>
    <s v="M"/>
    <s v="Haverhof 2"/>
    <s v="2952 EC ALBLASSERDAM"/>
    <s v="Nederland"/>
    <s v="philip_volleybal@live.nl"/>
    <n v="-615860474"/>
    <n v="2013"/>
    <x v="1"/>
    <m/>
  </r>
  <r>
    <x v="0"/>
    <n v="4314840"/>
    <s v="martinvanderei"/>
    <s v="Eijk"/>
    <s v="M. van der Eijk"/>
    <s v="Martin"/>
    <x v="16"/>
    <s v="Kruishoofd"/>
    <s v="Thomas Frijters"/>
    <d v="1995-08-04T00:00:00"/>
    <s v="Nederlandse"/>
    <s v="M"/>
    <s v="'s-Gravenweg 157"/>
    <s v="2911 BH NIEUWERKERK AD IJSSEL"/>
    <s v="Nederland"/>
    <s v="martinvandereijk@casema.nl"/>
    <n v="-615309694"/>
    <n v="2013"/>
    <x v="1"/>
    <m/>
  </r>
  <r>
    <x v="0"/>
    <n v="4317483"/>
    <s v="dherlaar"/>
    <s v="Herlaar"/>
    <s v="D.J.C. Herlaar"/>
    <s v="David"/>
    <x v="16"/>
    <s v="Kruishoofd"/>
    <s v="Thomas Frijters"/>
    <d v="1994-12-14T00:00:00"/>
    <s v="Nederlandse"/>
    <s v="M"/>
    <s v="Seringweg 33"/>
    <s v="3852 GP ERMELO"/>
    <s v="Nederland"/>
    <s v="david_herlaar@hotmail.com"/>
    <n v="-628634987"/>
    <n v="2013"/>
    <x v="1"/>
    <m/>
  </r>
  <r>
    <x v="0"/>
    <n v="4295633"/>
    <s v="bjhoek"/>
    <s v="Hoek"/>
    <s v="B.J. Hoek"/>
    <s v="Jan"/>
    <x v="16"/>
    <s v="Kruishoofd"/>
    <s v="Thomas Frijters"/>
    <d v="1994-05-20T00:00:00"/>
    <s v="Nederlandse"/>
    <s v="M"/>
    <s v="Ramsbeekweg 74"/>
    <s v="7152 KS EIBERGEN"/>
    <s v="Nederland"/>
    <s v="hoek14179@gmail.com"/>
    <n v="-618402916"/>
    <n v="2013"/>
    <x v="1"/>
    <m/>
  </r>
  <r>
    <x v="0"/>
    <n v="4297016"/>
    <s v="pjoon"/>
    <s v="Joon"/>
    <s v="P.J.A. Joon"/>
    <s v="Peter"/>
    <x v="16"/>
    <s v="Kruishoofd"/>
    <s v="Thomas Frijters"/>
    <d v="1995-08-22T00:00:00"/>
    <s v="Nederlandse"/>
    <s v="M"/>
    <s v="Borchsatelaan 56"/>
    <s v="3055 ZL ROTTERDAM"/>
    <s v="Nederland"/>
    <s v="peet_joon@hotmail.com"/>
    <n v="-681980057"/>
    <n v="2013"/>
    <x v="1"/>
    <m/>
  </r>
  <r>
    <x v="0"/>
    <n v="4331524"/>
    <s v="cmeijjer"/>
    <s v="Meijjer"/>
    <s v="C.J. Meijjer"/>
    <s v="Clemens"/>
    <x v="16"/>
    <s v="Kruishoofd"/>
    <s v="Thomas Frijters"/>
    <d v="1994-04-25T00:00:00"/>
    <s v="Nederlandse"/>
    <s v="M"/>
    <s v="Karveelstraat 5"/>
    <s v="1335 SN ALMERE"/>
    <s v="Nederland"/>
    <s v="clemensmeijjer@hotmail.com"/>
    <n v="-681767883"/>
    <n v="2013"/>
    <x v="1"/>
    <m/>
  </r>
  <r>
    <x v="1"/>
    <n v="4009673"/>
    <s v="docardonagonzalez"/>
    <s v="Cardona"/>
    <s v="D.O. Cardona Gonzalez"/>
    <s v="David"/>
    <x v="17"/>
    <m/>
    <m/>
    <d v="1989-10-31T00:00:00"/>
    <s v="Nederlandse"/>
    <s v="M"/>
    <m/>
    <m/>
    <m/>
    <m/>
    <m/>
    <n v="2009"/>
    <x v="12"/>
    <s v="gestopt WB52"/>
  </r>
  <r>
    <x v="1"/>
    <n v="4216954"/>
    <s v="avandenhoed"/>
    <s v="Hoed"/>
    <s v="A. van den Hoed"/>
    <s v="Annemarie"/>
    <x v="17"/>
    <m/>
    <m/>
    <d v="1994-01-05T00:00:00"/>
    <s v="Nederlandse"/>
    <s v="V"/>
    <s v="Johannes Bosboomlaan 16"/>
    <s v="2102 AK HEEMSTEDE"/>
    <s v="Nederland"/>
    <s v="anne_hoed@hotmail.com"/>
    <n v="-646684965"/>
    <n v="2012"/>
    <x v="2"/>
    <s v="gestopt WB41"/>
  </r>
  <r>
    <x v="1"/>
    <n v="4308573"/>
    <s v="mhondius"/>
    <s v="Hondius"/>
    <s v="M.M. Hondius"/>
    <s v="Menno"/>
    <x v="17"/>
    <m/>
    <m/>
    <d v="1993-06-14T00:00:00"/>
    <s v="Nederlandse"/>
    <s v="M"/>
    <s v="Schellingwouderdijk 231"/>
    <s v="1023 NG AMSTERDAM"/>
    <s v="Nederland"/>
    <s v="menno.hondius@xs4all.nl"/>
    <m/>
    <n v="2013"/>
    <x v="1"/>
    <s v="gestopt WB41"/>
  </r>
  <r>
    <x v="1"/>
    <n v="4332601"/>
    <s v="dkoetsenruijte"/>
    <s v="Koetsenruijter"/>
    <s v="D. Koetsenruijter"/>
    <s v="Daan"/>
    <x v="17"/>
    <m/>
    <m/>
    <d v="1994-12-16T00:00:00"/>
    <s v="Nederlandse"/>
    <s v="M"/>
    <s v="Ludwigstraat 32"/>
    <s v="4701 NH ROOSENDAAL"/>
    <s v="Nederland"/>
    <s v="daan.koets@gmail.com"/>
    <n v="-619742632"/>
    <n v="2013"/>
    <x v="1"/>
    <s v="gestopt WB75"/>
  </r>
  <r>
    <x v="1"/>
    <n v="4323262"/>
    <s v="jmoti"/>
    <s v="Moti"/>
    <s v="J.R. Moti"/>
    <s v="Jimray"/>
    <x v="17"/>
    <m/>
    <m/>
    <d v="1994-03-20T00:00:00"/>
    <s v="Nederlandse"/>
    <s v="M"/>
    <s v="Anslostraat 116"/>
    <s v="2533 KH 'S-GRAVENHAGE"/>
    <s v="Nederland"/>
    <s v="jimray_m@hotmail.com"/>
    <n v="-642395373"/>
    <n v="2013"/>
    <x v="1"/>
    <s v="gestopt WB62"/>
  </r>
  <r>
    <x v="1"/>
    <n v="4292790"/>
    <s v="smprins"/>
    <s v="Prins"/>
    <s v="S.M. Prins"/>
    <s v="Sander"/>
    <x v="17"/>
    <m/>
    <m/>
    <d v="1994-07-25T00:00:00"/>
    <s v="Nederlandse"/>
    <s v="M"/>
    <s v="Marnixlaan 21"/>
    <s v="1985 AN DRIEHUIS NH"/>
    <s v="Nederland"/>
    <s v="kip313@hotmail.com"/>
    <n v="-655699234"/>
    <n v="2013"/>
    <x v="1"/>
    <s v="gestopt WB06"/>
  </r>
  <r>
    <x v="1"/>
    <n v="4333160"/>
    <s v="csprockel"/>
    <s v="Sprockel"/>
    <s v="C.J. Sprockel"/>
    <s v="Colino"/>
    <x v="17"/>
    <m/>
    <m/>
    <d v="1994-04-30T00:00:00"/>
    <s v="Nederlandse"/>
    <s v="M"/>
    <s v="Witte de Withstraat 16"/>
    <s v="3454 XK DE MEERN"/>
    <s v="Nederland"/>
    <s v="coolinoo@gmail.com"/>
    <n v="-627068718"/>
    <n v="2013"/>
    <x v="1"/>
    <s v="gestopt WB52"/>
  </r>
  <r>
    <x v="1"/>
    <n v="4227069"/>
    <s v="ksutopo"/>
    <s v="Sutopo"/>
    <s v="N.D.K. Sutopo"/>
    <s v="Kinan"/>
    <x v="17"/>
    <m/>
    <m/>
    <d v="1994-02-25T00:00:00"/>
    <s v="Nederlandse"/>
    <s v="V"/>
    <s v="Praagsingel 15"/>
    <s v="2548 TT 'S-GRAVENHAGE"/>
    <s v="Nederland"/>
    <s v="kinansutopo@live.nl"/>
    <n v="-640560748"/>
    <n v="2012"/>
    <x v="2"/>
    <s v="gestopt WB62"/>
  </r>
  <r>
    <x v="1"/>
    <n v="4214765"/>
    <s v="rmthe"/>
    <s v="The"/>
    <s v="R.M. The"/>
    <s v="Rasha"/>
    <x v="17"/>
    <m/>
    <m/>
    <d v="1994-02-02T00:00:00"/>
    <s v="Nederlandse"/>
    <s v="M"/>
    <s v="Wilgenlei 51"/>
    <s v="3052 CB ROTTERDAM"/>
    <s v="Nederland"/>
    <s v="rasha_the@live.nl"/>
    <n v="-649826236"/>
    <n v="2013"/>
    <x v="1"/>
    <s v="gestopt WB49"/>
  </r>
  <r>
    <x v="1"/>
    <n v="4290550"/>
    <s v="sbaud"/>
    <s v="Baud"/>
    <s v="S.B. Baud"/>
    <s v="Sam"/>
    <x v="18"/>
    <s v="Turbolader"/>
    <s v="Sander Bregman"/>
    <d v="1993-12-20T00:00:00"/>
    <s v="Nederlandse"/>
    <s v="M"/>
    <s v="Emmalaan 19"/>
    <s v="3581 HM UTRECHT"/>
    <s v="Nederland"/>
    <s v="sam1220@mail.com"/>
    <s v="06-39196042"/>
    <n v="2013"/>
    <x v="1"/>
    <m/>
  </r>
  <r>
    <x v="1"/>
    <n v="4144007"/>
    <s v="michielvandenberg"/>
    <s v="Berg"/>
    <s v="M.R. van den Berg"/>
    <s v="Michiel"/>
    <x v="18"/>
    <s v="Turbolader"/>
    <s v="Sander Bregman"/>
    <d v="1992-02-25T00:00:00"/>
    <s v="Nederlandse"/>
    <s v="M"/>
    <s v="Plantageweg 32 a"/>
    <s v="3061 PK ROTTERDAM"/>
    <s v="Nederland"/>
    <s v="michielvandenberg2@hotmail.com"/>
    <n v="-611914124"/>
    <n v="2013"/>
    <x v="1"/>
    <m/>
  </r>
  <r>
    <x v="1"/>
    <n v="4322169"/>
    <s v="mbussemakers"/>
    <s v="Bussemakers"/>
    <s v="P.J.M. Bussemakers"/>
    <s v="Matthijs"/>
    <x v="18"/>
    <s v="Turbolader"/>
    <s v="Sander Bregman"/>
    <d v="1995-12-15T00:00:00"/>
    <s v="Nederlandse"/>
    <s v="M"/>
    <s v="de Wandelingen 19"/>
    <s v="8131 WD WIJHE"/>
    <s v="Nederland"/>
    <s v="hpmatthijs@hotmail.com"/>
    <n v="-614388825"/>
    <n v="2013"/>
    <x v="1"/>
    <m/>
  </r>
  <r>
    <x v="1"/>
    <n v="4234057"/>
    <s v="chengstanleych"/>
    <s v="Cheng"/>
    <s v="S.Y.N. Cheng"/>
    <s v="Stanley"/>
    <x v="18"/>
    <s v="Turbolader"/>
    <s v="Sander Bregman"/>
    <d v="1992-10-09T00:00:00"/>
    <s v="Surinaamse"/>
    <s v="M"/>
    <s v="Hooikade 9 C"/>
    <s v="2627 AB DELFT"/>
    <s v="Nederland"/>
    <s v="styn1992@gmail.com"/>
    <n v="-618998729"/>
    <n v="2012"/>
    <x v="0"/>
    <m/>
  </r>
  <r>
    <x v="1"/>
    <n v="4334086"/>
    <s v="ddrubers"/>
    <s v="Drubers"/>
    <s v="D.W. Drubers"/>
    <s v="Dennis"/>
    <x v="18"/>
    <s v="Turbolader"/>
    <s v="Sander Bregman"/>
    <d v="1994-12-24T00:00:00"/>
    <s v="Nederlandse"/>
    <s v="M"/>
    <s v="Dukasstraat 2"/>
    <s v="1962 AH HEEMSKERK"/>
    <s v="Nederland"/>
    <s v="dennisdrubers@gmail.com"/>
    <n v="-633797946"/>
    <n v="2013"/>
    <x v="1"/>
    <m/>
  </r>
  <r>
    <x v="1"/>
    <n v="4167821"/>
    <s v="igundogan"/>
    <s v="Gündogan"/>
    <s v="I. Gundogan"/>
    <s v="Ibrahim"/>
    <x v="18"/>
    <s v="Turbolader"/>
    <s v="Sander Bregman"/>
    <d v="1992-08-26T00:00:00"/>
    <s v="Nederlandse"/>
    <s v="M"/>
    <m/>
    <m/>
    <m/>
    <m/>
    <n v="-681488912"/>
    <n v="2013"/>
    <x v="1"/>
    <m/>
  </r>
  <r>
    <x v="1"/>
    <n v="4309111"/>
    <s v="jjeschke"/>
    <s v="Jeschke"/>
    <s v="J.M. Jeschke"/>
    <s v="Joost"/>
    <x v="18"/>
    <s v="Turbolader"/>
    <s v="Sander Bregman"/>
    <d v="1995-07-21T00:00:00"/>
    <s v="Nederlandse"/>
    <s v="M"/>
    <s v="Fluitekruid 9"/>
    <s v="3984 BA ODIJK"/>
    <s v="Nederland"/>
    <s v="joostjeschke@gmail.com"/>
    <n v="-648510407"/>
    <n v="2013"/>
    <x v="1"/>
    <m/>
  </r>
  <r>
    <x v="1"/>
    <n v="4323866"/>
    <s v="mkoker"/>
    <s v="Koker"/>
    <s v="M.P.C. Koker"/>
    <s v="Matthijs"/>
    <x v="18"/>
    <s v="Turbolader"/>
    <s v="Sander Bregman"/>
    <d v="1995-07-17T00:00:00"/>
    <s v="Nederlandse"/>
    <s v="M"/>
    <s v="Prinses Mariannelaan 164"/>
    <s v="2275 BL VOORBURG"/>
    <s v="Nederland"/>
    <s v="matthijs.koker@hotmail.com"/>
    <n v="-648368269"/>
    <n v="2013"/>
    <x v="1"/>
    <m/>
  </r>
  <r>
    <x v="1"/>
    <n v="4221435"/>
    <s v="iamnad"/>
    <s v="Amnad"/>
    <s v="I. Amnad"/>
    <s v="Ilias"/>
    <x v="19"/>
    <s v="Turbolader"/>
    <s v="Sander Bregman"/>
    <d v="1994-09-15T00:00:00"/>
    <s v="Nederlandse"/>
    <s v="M"/>
    <s v="Ottho Heldringstraat 19 F"/>
    <s v="1066 XT AMSTERDAM"/>
    <s v="Nederland"/>
    <s v="ilias_1509@hotmail.com"/>
    <n v="-681248172"/>
    <n v="2013"/>
    <x v="1"/>
    <m/>
  </r>
  <r>
    <x v="1"/>
    <n v="4306503"/>
    <s v="tvandenberk"/>
    <s v="Berk"/>
    <s v="T. van den Berk"/>
    <s v="Tim"/>
    <x v="19"/>
    <s v="Turbolader"/>
    <s v="Sander Bregman"/>
    <d v="1993-12-08T00:00:00"/>
    <s v="Nederlandse"/>
    <s v="M"/>
    <s v="Riethil 9"/>
    <s v="3261 EM OUD-BEIJERLAND"/>
    <s v="Nederland"/>
    <s v="appeltjesvoordedorst@hotmail.com"/>
    <m/>
    <n v="2013"/>
    <x v="1"/>
    <m/>
  </r>
  <r>
    <x v="1"/>
    <n v="4296508"/>
    <s v="lhillerislambe"/>
    <s v="Hille Ris Lambers"/>
    <s v="L.A. Hille Ris Lambers"/>
    <s v="Ludo"/>
    <x v="19"/>
    <s v="Turbolader"/>
    <s v="Sander Bregman"/>
    <d v="1993-04-27T00:00:00"/>
    <s v="Nederlandse"/>
    <s v="M"/>
    <s v="Heuvelweg 2"/>
    <s v="2061 BP BLOEMENDAAL"/>
    <s v="Nederland"/>
    <s v="ludovic1993@hotmail.com"/>
    <n v="-653418452"/>
    <n v="2013"/>
    <x v="1"/>
    <m/>
  </r>
  <r>
    <x v="1"/>
    <n v="4298926"/>
    <s v="jorikvanderlaa"/>
    <s v="Laan"/>
    <s v="J. van der Laan"/>
    <s v="Jorik"/>
    <x v="19"/>
    <s v="Turbolader"/>
    <s v="Sander Bregman"/>
    <d v="1995-12-19T00:00:00"/>
    <s v="Nederlandse"/>
    <s v="M"/>
    <s v="Damsterweg 41"/>
    <s v="9629 PB STEENDAM"/>
    <s v="Nederland"/>
    <s v="jorikvanderlaan@hotmail.nl"/>
    <n v="-610487542"/>
    <n v="2013"/>
    <x v="1"/>
    <m/>
  </r>
  <r>
    <x v="1"/>
    <n v="4311760"/>
    <s v="kpijnenburg"/>
    <s v="Pijnenburg"/>
    <s v="K.H. Pijnenburg"/>
    <s v="Kees Pijnenburg"/>
    <x v="19"/>
    <s v="Turbolader"/>
    <s v="Sander Bregman"/>
    <d v="1994-09-28T00:00:00"/>
    <s v="Nederlandse"/>
    <s v="M"/>
    <s v="Herenweg 18"/>
    <s v="3645 DP VINKEVEEN"/>
    <s v="Nederland"/>
    <s v="kees.pijnenburg@me.com"/>
    <n v="-649655226"/>
    <n v="2013"/>
    <x v="1"/>
    <m/>
  </r>
  <r>
    <x v="1"/>
    <n v="4213343"/>
    <s v="gverbeeten"/>
    <s v="Verbeeten"/>
    <s v="G.T.J. Verbeeten"/>
    <s v="Gijs"/>
    <x v="19"/>
    <s v="Turbolader"/>
    <s v="Sander Bregman"/>
    <d v="1994-09-03T00:00:00"/>
    <s v="Nederlandse"/>
    <s v="M"/>
    <s v="Prof. Evertslaan 132"/>
    <s v="2628 XZ DELFT"/>
    <s v="Nederland"/>
    <s v="gijsverbeeten@gmail.com"/>
    <n v="-623180900"/>
    <n v="2012"/>
    <x v="2"/>
    <m/>
  </r>
  <r>
    <x v="1"/>
    <n v="4310012"/>
    <s v="jrvisscher"/>
    <s v="Visscher"/>
    <s v="J.R. Visscher"/>
    <s v="Just"/>
    <x v="19"/>
    <s v="Turbolader"/>
    <s v="Sander Bregman"/>
    <d v="1994-09-28T00:00:00"/>
    <s v="Nederlandse"/>
    <s v="M"/>
    <s v="Lekkerbeetjenlaan 156"/>
    <s v="5263 LB VUGHT"/>
    <s v="Nederland"/>
    <s v="just.visscher@hotmail.com"/>
    <n v="-627020133"/>
    <n v="2013"/>
    <x v="1"/>
    <m/>
  </r>
  <r>
    <x v="1"/>
    <n v="4312244"/>
    <s v="mdewildt"/>
    <s v="Wildt"/>
    <s v="M.J. de Wildt"/>
    <s v="Midas"/>
    <x v="19"/>
    <s v="Turbolader"/>
    <s v="Sander Bregman"/>
    <d v="1995-05-17T00:00:00"/>
    <s v="Nederlandse"/>
    <s v="M"/>
    <s v="Burgemeesterpark 22"/>
    <s v="3971 CV DRIEBERGEN-RIJSENBURG"/>
    <s v="Nederland"/>
    <s v="midas-dewildt@hotmail.com"/>
    <n v="-636581706"/>
    <n v="2013"/>
    <x v="1"/>
    <m/>
  </r>
  <r>
    <x v="1"/>
    <n v="4224841"/>
    <s v="phblom"/>
    <s v="Blom"/>
    <s v="P.H. Blom"/>
    <s v="Peter"/>
    <x v="20"/>
    <s v="Turbolader"/>
    <s v="Jeroen Brenkman"/>
    <m/>
    <m/>
    <s v="M"/>
    <m/>
    <m/>
    <m/>
    <m/>
    <n v="-657313027"/>
    <n v="2013"/>
    <x v="13"/>
    <m/>
  </r>
  <r>
    <x v="1"/>
    <n v="4242416"/>
    <s v="jboukema"/>
    <s v="Boukema"/>
    <s v="J.M. Boukema"/>
    <s v="Jos"/>
    <x v="20"/>
    <s v="Turbolader"/>
    <s v="Jeroen Brenkman"/>
    <d v="1994-09-12T00:00:00"/>
    <s v="Nederlandse"/>
    <s v="M"/>
    <s v="Prins Mauritssingel 16"/>
    <s v="2912 BG NIEUWERKERK AD IJSSEL"/>
    <s v="Nederland"/>
    <s v="josboukema@live.nl"/>
    <n v="-622589392"/>
    <n v="2012"/>
    <x v="8"/>
    <m/>
  </r>
  <r>
    <x v="1"/>
    <n v="4235223"/>
    <s v="tejvanderhoeve"/>
    <s v="Hoeven"/>
    <s v="T.E.J. van der Hoeven"/>
    <s v="Thomas"/>
    <x v="20"/>
    <s v="Turbolader"/>
    <s v="Jeroen Brenkman"/>
    <d v="1992-12-04T00:00:00"/>
    <s v="Nederlandse"/>
    <s v="M"/>
    <s v="BELLEFLEUR 29"/>
    <s v="6662 HP ELST GLD"/>
    <s v="Nederland"/>
    <s v="thomas.vdhoeven@hotmail.com"/>
    <n v="-12777378"/>
    <n v="2013"/>
    <x v="1"/>
    <m/>
  </r>
  <r>
    <x v="1"/>
    <n v="4335082"/>
    <s v="makoster"/>
    <s v="Koster"/>
    <s v="M.A. Koster"/>
    <s v="Michiel"/>
    <x v="20"/>
    <s v="Turbolader"/>
    <s v="Jeroen Brenkman"/>
    <d v="1994-03-08T00:00:00"/>
    <s v="Nederlandse"/>
    <s v="M"/>
    <s v="Lanckhorstlaan 22"/>
    <s v="2101 BE HEEMSTEDE"/>
    <s v="Nederland"/>
    <s v="michiel@kfive.demon.nl"/>
    <n v="-634320938"/>
    <n v="2013"/>
    <x v="1"/>
    <m/>
  </r>
  <r>
    <x v="1"/>
    <n v="4237749"/>
    <s v="dterkulve"/>
    <s v="Kulve"/>
    <s v="D.W. ter Kulve"/>
    <s v="Diederick"/>
    <x v="20"/>
    <s v="Turbolader"/>
    <s v="Jeroen Brenkman"/>
    <d v="1994-05-06T00:00:00"/>
    <s v="Nederlandse"/>
    <s v="M"/>
    <s v="Oude Delft 35"/>
    <s v="2611 BB DELFT"/>
    <s v="Nederland"/>
    <s v="diederick.terkulve@gmail.com"/>
    <n v="-626787321"/>
    <n v="2012"/>
    <x v="14"/>
    <m/>
  </r>
  <r>
    <x v="1"/>
    <n v="4296176"/>
    <s v="ttrentelman"/>
    <s v="Trentelman"/>
    <s v="T.R. Trentelman"/>
    <s v="Thom"/>
    <x v="20"/>
    <s v="Turbolader"/>
    <s v="Jeroen Brenkman"/>
    <d v="1994-11-15T00:00:00"/>
    <s v="Nederlandse"/>
    <s v="M"/>
    <s v="Gentsestraat 86"/>
    <s v="2587 HX 'S-GRAVENHAGE"/>
    <s v="Nederland"/>
    <s v="thomtrentelman@kpnmail.nl"/>
    <n v="-621691790"/>
    <n v="2013"/>
    <x v="1"/>
    <m/>
  </r>
  <r>
    <x v="1"/>
    <n v="4301137"/>
    <s v="mweijerman"/>
    <s v="Weijerman"/>
    <s v="M.P.P. Weijerman"/>
    <s v="Mark"/>
    <x v="20"/>
    <s v="Turbolader"/>
    <s v="Jeroen Brenkman"/>
    <d v="1995-04-17T00:00:00"/>
    <s v="Nederlandse"/>
    <s v="M"/>
    <s v="Poggenbeekstraat 31"/>
    <s v="6813 KD ARNHEM"/>
    <s v="Nederland"/>
    <s v="mark_weijerman@hotmail.com"/>
    <n v="-613332423"/>
    <n v="2013"/>
    <x v="1"/>
    <m/>
  </r>
  <r>
    <x v="1"/>
    <n v="4290461"/>
    <s v="oyilmaz"/>
    <s v="Yilmaz"/>
    <s v="Ö. Yilmaz"/>
    <s v="Özal"/>
    <x v="20"/>
    <s v="Turbolader"/>
    <s v="Jeroen Brenkman"/>
    <d v="1994-08-08T00:00:00"/>
    <s v="Nederlandse"/>
    <s v="M"/>
    <s v="'t Hoge Sas 6"/>
    <s v="4551 TS SAS VAN GENT"/>
    <s v="Nederland"/>
    <s v="yilmaz_ozal@hotmail.com"/>
    <n v="-655588536"/>
    <n v="2013"/>
    <x v="1"/>
    <m/>
  </r>
  <r>
    <x v="1"/>
    <n v="4209362"/>
    <s v="mhrbackx"/>
    <s v="Backx"/>
    <s v="M.H.R. Backx"/>
    <s v="Martijn"/>
    <x v="21"/>
    <s v="Turbolader"/>
    <s v="Jeroen Brenkman"/>
    <d v="1994-04-09T00:00:00"/>
    <s v="Nederlandse"/>
    <s v="M"/>
    <s v="Weth van Klinkenstraat 10"/>
    <s v="4306 CT NIEUWERKERK"/>
    <s v="Nederland"/>
    <s v="martijn_backx@hotmail.com"/>
    <n v="-620063906"/>
    <n v="2013"/>
    <x v="1"/>
    <m/>
  </r>
  <r>
    <x v="1"/>
    <n v="4312104"/>
    <s v="rchofman"/>
    <s v="Hofman"/>
    <s v="R.C. Hofman"/>
    <s v="Dick"/>
    <x v="21"/>
    <s v="Turbolader"/>
    <s v="Jeroen Brenkman"/>
    <d v="1995-03-01T00:00:00"/>
    <s v="Nederlandse"/>
    <s v="M"/>
    <s v="Nassaulaan 23"/>
    <s v="3743 CA BAARN"/>
    <s v="Nederland"/>
    <s v="dick_hof@hotmail.com"/>
    <n v="-638625745"/>
    <n v="2013"/>
    <x v="1"/>
    <m/>
  </r>
  <r>
    <x v="1"/>
    <n v="4308557"/>
    <s v="remydejong"/>
    <s v="Jong"/>
    <s v="R. de Jong"/>
    <s v="Rémy"/>
    <x v="21"/>
    <s v="Turbolader"/>
    <s v="Jeroen Brenkman"/>
    <d v="1994-05-22T00:00:00"/>
    <s v="Nederlandse"/>
    <s v="M"/>
    <s v="Oude Loosdrechtseweg 40"/>
    <s v="1215 HJ HILVERSUM"/>
    <s v="Nederland"/>
    <s v="remydejong5@gmail.com"/>
    <n v="-629576444"/>
    <n v="2013"/>
    <x v="1"/>
    <m/>
  </r>
  <r>
    <x v="1"/>
    <n v="4280156"/>
    <s v="kkouzelis"/>
    <s v="Kouzelis"/>
    <s v="K. Kouzelis"/>
    <s v="Konstantinos"/>
    <x v="21"/>
    <s v="Turbolader"/>
    <s v="Jeroen Brenkman"/>
    <d v="1995-01-26T00:00:00"/>
    <s v="Griekse"/>
    <s v="M"/>
    <s v="Danckertsstraat 7"/>
    <s v="2517 TE 'S-GRAVENHAGE"/>
    <s v="Nederland"/>
    <s v="kouzelisk@hotmail.com"/>
    <n v="-652172167"/>
    <n v="2013"/>
    <x v="1"/>
    <m/>
  </r>
  <r>
    <x v="1"/>
    <n v="4300300"/>
    <s v="trobeerts"/>
    <s v="Robeerts"/>
    <s v="T.R. Robeerts"/>
    <s v="Tori"/>
    <x v="21"/>
    <s v="Turbolader"/>
    <s v="Jeroen Brenkman"/>
    <d v="1995-08-07T00:00:00"/>
    <s v="Nederlandse"/>
    <s v="V"/>
    <s v="Houtduif 8"/>
    <s v="1695 AX BLOKKER"/>
    <s v="Nederland"/>
    <s v="barrel_love@hotmail.com"/>
    <m/>
    <n v="2013"/>
    <x v="1"/>
    <m/>
  </r>
  <r>
    <x v="1"/>
    <n v="4291433"/>
    <s v="hnderuiter"/>
    <s v="Ruiter"/>
    <s v="H.N. de Ruiter"/>
    <s v="Nick"/>
    <x v="21"/>
    <s v="Turbolader"/>
    <s v="Jeroen Brenkman"/>
    <d v="1994-02-26T00:00:00"/>
    <s v="Nederlandse"/>
    <s v="M"/>
    <s v="Hooge Erf 1"/>
    <s v="1534 NZ OOSTKNOLLENDAM"/>
    <s v="Nederland"/>
    <s v="hnderuiter1994@gmail.com"/>
    <n v="-653907485"/>
    <n v="2013"/>
    <x v="1"/>
    <m/>
  </r>
  <r>
    <x v="1"/>
    <n v="4302257"/>
    <s v="hseversteeg"/>
    <s v="Versteeg"/>
    <s v="H.S.E. Versteeg"/>
    <s v="Huib"/>
    <x v="21"/>
    <s v="Turbolader"/>
    <s v="Jeroen Brenkman"/>
    <d v="1995-10-02T00:00:00"/>
    <s v="Nederlandse"/>
    <s v="M"/>
    <s v="Meloenstraat 37"/>
    <s v="2564 TB 'S-GRAVENHAGE"/>
    <s v="Nederland"/>
    <s v="huib@cx4all.nl"/>
    <n v="-621707482"/>
    <n v="2013"/>
    <x v="1"/>
    <m/>
  </r>
  <r>
    <x v="1"/>
    <n v="4290712"/>
    <s v="bwvanderwal"/>
    <s v="Wal"/>
    <s v="B.W. van der Wal"/>
    <s v="Wouter"/>
    <x v="21"/>
    <s v="Turbolader"/>
    <s v="Jeroen Brenkman"/>
    <d v="1995-09-24T00:00:00"/>
    <s v="Nederlandse"/>
    <s v="M"/>
    <s v="Parksingel 3"/>
    <s v="9503 ED STADSKANAAL"/>
    <s v="Nederland"/>
    <s v="wouter24-09@hotmail.com"/>
    <n v="-629073312"/>
    <n v="2013"/>
    <x v="1"/>
    <m/>
  </r>
  <r>
    <x v="1"/>
    <n v="4320336"/>
    <s v="ldoornebosch"/>
    <s v="Doornebosch"/>
    <s v="L.M. Doornebosch"/>
    <s v="Luuk"/>
    <x v="22"/>
    <s v="Turbolader"/>
    <s v="Stefan Brilstra"/>
    <d v="1995-08-24T00:00:00"/>
    <s v="Nederlandse"/>
    <s v="M"/>
    <s v="Heemsteedse Dreef 89"/>
    <s v="2101 KA HEEMSTEDE"/>
    <s v="Nederland"/>
    <s v="luukdoornebosch@hotmail.com"/>
    <n v="-652267389"/>
    <n v="2013"/>
    <x v="1"/>
    <m/>
  </r>
  <r>
    <x v="1"/>
    <n v="4288114"/>
    <s v="rfris"/>
    <s v="Fris"/>
    <s v="R. Fris"/>
    <s v="Rein"/>
    <x v="22"/>
    <s v="Turbolader"/>
    <s v="Stefan Brilstra"/>
    <d v="1995-03-03T00:00:00"/>
    <s v="Nederlandse"/>
    <s v="M"/>
    <s v="Parkstraat 5"/>
    <s v="1506 WB ZAANDAM"/>
    <s v="Nederland"/>
    <s v="rein_fris@stmichaelcollege.nl"/>
    <n v="-642964815"/>
    <n v="2013"/>
    <x v="1"/>
    <m/>
  </r>
  <r>
    <x v="1"/>
    <n v="4318129"/>
    <s v="ovandenheuvel"/>
    <s v="Heuvel"/>
    <s v="O.D. van den Heuvel"/>
    <s v="Oscar"/>
    <x v="22"/>
    <s v="Turbolader"/>
    <s v="Stefan Brilstra"/>
    <d v="1995-03-07T00:00:00"/>
    <s v="Nederlandse"/>
    <s v="M"/>
    <s v="Gravin Sophialaan 5"/>
    <s v="2114 DS VOGELENZANG"/>
    <s v="Nederland"/>
    <s v="oscar90@planet.nl"/>
    <n v="-610744999"/>
    <n v="2013"/>
    <x v="1"/>
    <m/>
  </r>
  <r>
    <x v="1"/>
    <n v="4312325"/>
    <s v="jcmkoot"/>
    <s v="Koot"/>
    <s v="J.C.M. Koot"/>
    <s v="Jeroen"/>
    <x v="22"/>
    <s v="Turbolader"/>
    <s v="Stefan Brilstra"/>
    <d v="1995-01-20T00:00:00"/>
    <s v="Nederlandse"/>
    <s v="M"/>
    <s v="Freesiastraat 2 b"/>
    <s v="2651 XM BERKEL EN RODENRIJS"/>
    <s v="Nederland"/>
    <s v="jeroen.koot@hotmail.com"/>
    <n v="-683246548"/>
    <n v="2013"/>
    <x v="1"/>
    <m/>
  </r>
  <r>
    <x v="1"/>
    <n v="4295838"/>
    <s v="carlokranenbur"/>
    <s v="Kranenburg"/>
    <s v="C. Kranenburg"/>
    <s v="Carlo"/>
    <x v="22"/>
    <s v="Turbolader"/>
    <s v="Stefan Brilstra"/>
    <d v="1994-05-19T00:00:00"/>
    <s v="Nederlandse"/>
    <s v="M"/>
    <s v="Scheg 12"/>
    <s v="3863 VD NIJKERK GLD"/>
    <s v="Nederland"/>
    <s v="carlokranenburg1994@gmail.com"/>
    <n v="-634014883"/>
    <n v="2013"/>
    <x v="1"/>
    <m/>
  </r>
  <r>
    <x v="1"/>
    <n v="4303342"/>
    <s v="alenederpel"/>
    <s v="Nederpel"/>
    <s v="A.L.E. Nederpel"/>
    <s v="Arnoud"/>
    <x v="22"/>
    <s v="Turbolader"/>
    <s v="Stefan Brilstra"/>
    <d v="1994-10-05T00:00:00"/>
    <s v="Nederlandse"/>
    <s v="M"/>
    <s v="Turfmarkt 102"/>
    <s v="2801 HC GOUDA"/>
    <s v="Nederland"/>
    <s v="arnoudned@hotmail.com"/>
    <n v="-612964259"/>
    <n v="2013"/>
    <x v="1"/>
    <m/>
  </r>
  <r>
    <x v="1"/>
    <n v="4288831"/>
    <s v="ttalsma"/>
    <s v="Talsma"/>
    <s v="T. Talsma"/>
    <s v="Tjalling"/>
    <x v="22"/>
    <s v="Turbolader"/>
    <s v="Stefan Brilstra"/>
    <d v="1995-09-07T00:00:00"/>
    <s v="Nederlandse"/>
    <s v="M"/>
    <s v="Leidijk 30"/>
    <s v="9825 TA LUCASWOLDE"/>
    <s v="Nederland"/>
    <s v="tjallingtalsma@hotmail.com"/>
    <n v="-621634689"/>
    <n v="2013"/>
    <x v="1"/>
    <m/>
  </r>
  <r>
    <x v="1"/>
    <n v="4286774"/>
    <s v="karoenvanderwa"/>
    <s v="Wal"/>
    <s v="K. van der Wal"/>
    <s v="Karoen"/>
    <x v="22"/>
    <s v="Turbolader"/>
    <s v="Stefan Brilstra"/>
    <d v="1994-08-15T00:00:00"/>
    <s v="Nederlandse"/>
    <s v="M"/>
    <s v="Millinghaweg 32"/>
    <s v="9822 TE NIEKERK GROOTEGAST"/>
    <s v="Nederland"/>
    <s v="karoenvdwal1@hotmail.com"/>
    <n v="-630323318"/>
    <n v="2013"/>
    <x v="1"/>
    <m/>
  </r>
  <r>
    <x v="1"/>
    <n v="4313348"/>
    <s v="ddgdenhartog"/>
    <s v="Hartog"/>
    <s v="D.D.G. den Hartog"/>
    <s v="Dylan"/>
    <x v="23"/>
    <s v="Turbolader"/>
    <s v="Stefan Brilstra"/>
    <d v="1994-12-25T00:00:00"/>
    <s v="Nederlandse"/>
    <s v="M"/>
    <s v="Fie Carelsenlaan 33"/>
    <s v="2548 ZP 'S-GRAVENHAGE"/>
    <s v="Nederland"/>
    <s v="jmsprockel@hotmail.com"/>
    <n v="-616286675"/>
    <n v="2013"/>
    <x v="1"/>
    <m/>
  </r>
  <r>
    <x v="1"/>
    <n v="4336658"/>
    <s v="mhondema"/>
    <s v="Hondema"/>
    <s v="M. Hondema"/>
    <s v="Maarten"/>
    <x v="23"/>
    <s v="Turbolader"/>
    <s v="Stefan Brilstra"/>
    <d v="1989-03-06T00:00:00"/>
    <s v="Nederlandse"/>
    <s v="M"/>
    <s v="Padlaan 7"/>
    <s v="1561 ZA KROMMENIE"/>
    <s v="Nederland"/>
    <s v="maartenhondema@hotmail.com"/>
    <n v="-612474791"/>
    <n v="2013"/>
    <x v="1"/>
    <m/>
  </r>
  <r>
    <x v="1"/>
    <n v="4318099"/>
    <s v="skemmere"/>
    <s v="Kemmere"/>
    <s v="S. Kemmere"/>
    <s v="Simon"/>
    <x v="23"/>
    <s v="Turbolader"/>
    <s v="Stefan Brilstra"/>
    <d v="1995-03-17T00:00:00"/>
    <s v="Nederlandse"/>
    <s v="M"/>
    <s v="Poortweide 6"/>
    <s v="2291 EH WATERINGEN"/>
    <s v="Nederland"/>
    <s v="simonkemmere@hotmail.com"/>
    <n v="-613490984"/>
    <n v="2013"/>
    <x v="1"/>
    <m/>
  </r>
  <r>
    <x v="1"/>
    <n v="4279743"/>
    <s v="nielsvanos"/>
    <s v="Os"/>
    <s v="N. van Os"/>
    <s v="Niels"/>
    <x v="23"/>
    <s v="Turbolader"/>
    <s v="Stefan Brilstra"/>
    <d v="1995-05-30T00:00:00"/>
    <s v="Nederlandse"/>
    <s v="M"/>
    <s v="Bron 24"/>
    <s v="1511 JK OOSTZAAN"/>
    <s v="Nederland"/>
    <s v="sonavein@gmail.com"/>
    <n v="-624539279"/>
    <n v="2013"/>
    <x v="1"/>
    <m/>
  </r>
  <r>
    <x v="1"/>
    <n v="4288009"/>
    <s v="ileschmidt"/>
    <s v="Schmidt"/>
    <s v="I.L.E. Schmidt"/>
    <s v="Irene"/>
    <x v="23"/>
    <s v="Turbolader"/>
    <s v="Stefan Brilstra"/>
    <d v="1994-11-16T00:00:00"/>
    <s v="Nederlandse"/>
    <s v="V"/>
    <s v="Wieger Bruinlaan 4"/>
    <s v="2132 AW HOOFDDORP"/>
    <s v="Nederland"/>
    <s v="ileschmidt@live.nl"/>
    <m/>
    <n v="2013"/>
    <x v="1"/>
    <m/>
  </r>
  <r>
    <x v="1"/>
    <n v="4310780"/>
    <s v="tswank"/>
    <s v="Swank"/>
    <s v="T.R. Swank"/>
    <s v="Tim"/>
    <x v="23"/>
    <s v="Turbolader"/>
    <s v="Stefan Brilstra"/>
    <d v="1995-06-18T00:00:00"/>
    <s v="Nederlandse"/>
    <s v="M"/>
    <s v="Etty Hillesumsingel 30"/>
    <s v="2642 CP PIJNACKER"/>
    <s v="Nederland"/>
    <s v="tim.swank@planet.nl"/>
    <n v="-619407717"/>
    <n v="2013"/>
    <x v="1"/>
    <m/>
  </r>
  <r>
    <x v="1"/>
    <n v="4295617"/>
    <s v="rwaasdorp"/>
    <s v="Waasdorp"/>
    <s v="R. Waasdorp"/>
    <s v="Rick"/>
    <x v="23"/>
    <s v="Turbolader"/>
    <s v="Stefan Brilstra"/>
    <d v="1995-09-21T00:00:00"/>
    <s v="Nederlandse"/>
    <s v="M"/>
    <s v="Blekersvaartweg 31"/>
    <s v="2101 CB HEEMSTEDE"/>
    <s v="Nederland"/>
    <s v="rickwaasdorp@hotmail.com"/>
    <n v="-649729008"/>
    <n v="2013"/>
    <x v="1"/>
    <m/>
  </r>
  <r>
    <x v="1"/>
    <n v="4152506"/>
    <s v="samierie"/>
    <s v="Amierie"/>
    <s v="A. Amierie"/>
    <s v="Shahier"/>
    <x v="24"/>
    <s v="Turbolader"/>
    <s v="Dylan de Carvalho Cruz"/>
    <d v="1992-09-06T00:00:00"/>
    <s v="Nederlandse"/>
    <s v="M"/>
    <s v="Silene 10"/>
    <s v="8265 GZ KAMPEN"/>
    <s v="Nederland"/>
    <s v="ahmadamierie@home.nl"/>
    <n v="-652481988"/>
    <n v="2011"/>
    <x v="2"/>
    <m/>
  </r>
  <r>
    <x v="1"/>
    <n v="4224655"/>
    <s v="pfaessen"/>
    <s v="Faessen"/>
    <s v="P.J.A. Faessen"/>
    <s v="Pieke"/>
    <x v="24"/>
    <s v="Turbolader"/>
    <s v="Dylan de Carvalho Cruz"/>
    <d v="1993-11-15T00:00:00"/>
    <s v="Nederlandse"/>
    <s v="M"/>
    <m/>
    <m/>
    <m/>
    <m/>
    <m/>
    <n v="2013"/>
    <x v="1"/>
    <s v="voor 2e semester 2012 gestopt"/>
  </r>
  <r>
    <x v="1"/>
    <n v="4304160"/>
    <s v="igavran"/>
    <s v="Gavran"/>
    <s v="I. Gavran"/>
    <s v="Ivan"/>
    <x v="24"/>
    <s v="Turbolader"/>
    <s v="Dylan de Carvalho Cruz"/>
    <d v="1995-09-15T00:00:00"/>
    <s v="Burger Bosnie-Herzegovina"/>
    <s v="M"/>
    <s v="Strandplevier 14"/>
    <s v="4617 JN BERGEN OP ZOOM"/>
    <s v="Nederland"/>
    <s v="ivansafan@hotmail.com"/>
    <n v="-612595806"/>
    <n v="2013"/>
    <x v="1"/>
    <m/>
  </r>
  <r>
    <x v="1"/>
    <n v="4294181"/>
    <s v="bgeijtenbeek"/>
    <s v="Geijtenbeek"/>
    <s v="G. Geijtenbeek"/>
    <s v="Bart"/>
    <x v="24"/>
    <s v="Turbolader"/>
    <s v="Dylan de Carvalho Cruz"/>
    <d v="1994-10-24T00:00:00"/>
    <s v="Nederlandse"/>
    <s v="M"/>
    <s v="Klaverpad 7"/>
    <s v="4461 MD GOES"/>
    <s v="Nederland"/>
    <s v="bartgeijtenbeek@gmail.com"/>
    <n v="-636215492"/>
    <n v="2013"/>
    <x v="1"/>
    <m/>
  </r>
  <r>
    <x v="1"/>
    <n v="4331451"/>
    <s v="hhagouchi"/>
    <s v="Hagouchi"/>
    <s v="H. Hagouchi"/>
    <s v="Harvey"/>
    <x v="24"/>
    <s v="Turbolader"/>
    <s v="Dylan de Carvalho Cruz"/>
    <d v="1993-10-10T00:00:00"/>
    <s v="Nederlandse"/>
    <s v="M"/>
    <s v="Bijlmerdreef 360"/>
    <s v="1102 AC AMSTERDAM ZUIDOOST"/>
    <s v="Nederland"/>
    <s v="harveytimon@hotmail.com"/>
    <n v="-637286557"/>
    <n v="2013"/>
    <x v="1"/>
    <m/>
  </r>
  <r>
    <x v="1"/>
    <n v="4297806"/>
    <s v="mkerkhof"/>
    <s v="Kerkhof"/>
    <s v="M.M.H.A. Kerkhof"/>
    <s v="Maikel"/>
    <x v="24"/>
    <s v="Turbolader"/>
    <s v="Dylan de Carvalho Cruz"/>
    <d v="1994-02-16T00:00:00"/>
    <s v="Nederlandse"/>
    <s v="M"/>
    <s v="Oude Vlijmenseweg 74"/>
    <s v="5223 GP 'S-HERTOGENBOSCH"/>
    <s v="Nederland"/>
    <s v="maikel_kerkhof@hotmail.com"/>
    <n v="-639210877"/>
    <n v="2013"/>
    <x v="1"/>
    <m/>
  </r>
  <r>
    <x v="1"/>
    <n v="4309820"/>
    <s v="mljpeters"/>
    <s v="Peters"/>
    <s v="M.L.J. Peters"/>
    <s v="Martijn"/>
    <x v="24"/>
    <s v="Turbolader"/>
    <s v="Dylan de Carvalho Cruz"/>
    <d v="1994-05-10T00:00:00"/>
    <s v="Nederlandse"/>
    <s v="M"/>
    <s v="Busken Huetplein 1"/>
    <s v="1215 AJ HILVERSUM"/>
    <s v="Nederland"/>
    <s v="marti_polo6@hotmail.com"/>
    <n v="-610469453"/>
    <n v="2013"/>
    <x v="1"/>
    <m/>
  </r>
  <r>
    <x v="1"/>
    <n v="4315243"/>
    <s v="mschoonhoven"/>
    <s v="Schoonhoven"/>
    <s v="M. Schoonhoven"/>
    <s v="Matthijs"/>
    <x v="24"/>
    <s v="Turbolader"/>
    <s v="Dylan de Carvalho Cruz"/>
    <d v="1995-08-21T00:00:00"/>
    <s v="Nederlandse"/>
    <s v="M"/>
    <s v="Falster 4"/>
    <s v="1506 BN ZAANDAM"/>
    <s v="Nederland"/>
    <s v="matthijs.schoonhoven1@gmail.com"/>
    <n v="-681176616"/>
    <n v="2013"/>
    <x v="1"/>
    <m/>
  </r>
  <r>
    <x v="1"/>
    <n v="4190971"/>
    <s v="asharif"/>
    <s v="Sharif"/>
    <s v="A. Sharif"/>
    <s v="Abubakar"/>
    <x v="24"/>
    <s v="Turbolader"/>
    <s v="Dylan de Carvalho Cruz"/>
    <d v="1989-10-03T00:00:00"/>
    <s v="Nederlandse"/>
    <s v="M"/>
    <s v="J.J.L. ten Katestraat 9 9"/>
    <s v="3311 SN Dordrecht"/>
    <s v="Nederland"/>
    <s v="abubakar_4@msn.com"/>
    <n v="-643939197"/>
    <n v="2011"/>
    <x v="15"/>
    <m/>
  </r>
  <r>
    <x v="1"/>
    <n v="4253310"/>
    <s v="baouragh"/>
    <s v="Aouragh"/>
    <s v="B. Aouragh"/>
    <s v="Bilal"/>
    <x v="25"/>
    <s v="Turbolader"/>
    <s v="Dylan de Carvalho Cruz"/>
    <d v="1993-12-19T00:00:00"/>
    <s v="Nederlandse"/>
    <s v="M"/>
    <s v="Honthorststraat 34"/>
    <s v="2525 GA 'S-GRAVENHAGE"/>
    <s v="Nederland"/>
    <s v="bilal.aouragh@gmail.com"/>
    <n v="-620932211"/>
    <n v="2012"/>
    <x v="13"/>
    <m/>
  </r>
  <r>
    <x v="1"/>
    <n v="4276175"/>
    <s v="jbakhuis"/>
    <s v="Bakhuis"/>
    <s v="J.J. Bakhuis"/>
    <s v="Jerico"/>
    <x v="25"/>
    <s v="Turbolader"/>
    <s v="Dylan de Carvalho Cruz"/>
    <d v="1995-07-10T00:00:00"/>
    <s v="Nederlandse"/>
    <s v="M"/>
    <s v="Elmesstraat 28"/>
    <m/>
    <s v="Curaçao"/>
    <s v="jerico-bakhuis@hotmail.com"/>
    <n v="-5102147"/>
    <n v="2013"/>
    <x v="1"/>
    <m/>
  </r>
  <r>
    <x v="1"/>
    <n v="4304209"/>
    <s v="madekker"/>
    <s v="Dekker"/>
    <s v="M.A. Dekker"/>
    <s v="Melina"/>
    <x v="25"/>
    <s v="Turbolader"/>
    <s v="Dylan de Carvalho Cruz"/>
    <d v="1995-11-05T00:00:00"/>
    <s v="Nederlandse"/>
    <s v="V"/>
    <s v="Albert Verweylaan 111"/>
    <s v="1422 TP UITHOORN"/>
    <s v="Nederland"/>
    <s v="me_lien@hotmail.com"/>
    <n v="-612788534"/>
    <n v="2013"/>
    <x v="1"/>
    <m/>
  </r>
  <r>
    <x v="1"/>
    <n v="4280989"/>
    <s v="bobvandijk"/>
    <s v="Dijk"/>
    <s v="B. van Dijk"/>
    <s v="Bob"/>
    <x v="25"/>
    <s v="Turbolader"/>
    <s v="Dylan de Carvalho Cruz"/>
    <d v="1995-06-01T00:00:00"/>
    <s v="Nederlandse"/>
    <s v="M"/>
    <s v="Nieuwe Haven 57"/>
    <s v="3291 GA STRIJEN"/>
    <s v="Nederland"/>
    <s v="bobvandijk3@hotmail.com"/>
    <n v="-629338863"/>
    <n v="2013"/>
    <x v="1"/>
    <m/>
  </r>
  <r>
    <x v="1"/>
    <n v="4285255"/>
    <s v="kvanekeren"/>
    <s v="Ekeren"/>
    <s v="C.T. van Ekeren"/>
    <s v="Kees"/>
    <x v="25"/>
    <s v="Turbolader"/>
    <s v="Dylan de Carvalho Cruz"/>
    <d v="1994-11-12T00:00:00"/>
    <s v="Nederlandse"/>
    <s v="M"/>
    <s v="Veenschoterweg 2 a"/>
    <s v="3925 MN SCHERPENZEEL GLD"/>
    <s v="Nederland"/>
    <s v="keesvan_ekeren@live.nl"/>
    <n v="-625149420"/>
    <n v="2013"/>
    <x v="1"/>
    <m/>
  </r>
  <r>
    <x v="1"/>
    <n v="4296567"/>
    <s v="jmkingma"/>
    <s v="Kingma"/>
    <s v="J.M. Kingma"/>
    <s v="Joost"/>
    <x v="25"/>
    <s v="Turbolader"/>
    <s v="Dylan de Carvalho Cruz"/>
    <d v="1995-03-06T00:00:00"/>
    <s v="Nederlandse"/>
    <s v="M"/>
    <s v="Marga Klompelaan 20"/>
    <s v="1187 PS AMSTELVEEN"/>
    <s v="Nederland"/>
    <s v="joost-kingma@hotmail.com"/>
    <n v="-643691074"/>
    <n v="2013"/>
    <x v="1"/>
    <m/>
  </r>
  <r>
    <x v="1"/>
    <n v="4281780"/>
    <s v="ywesthoek"/>
    <s v="Westhoek"/>
    <s v="Y. Westhoek"/>
    <s v="Youri"/>
    <x v="25"/>
    <s v="Turbolader"/>
    <s v="Dylan de Carvalho Cruz"/>
    <d v="1995-04-05T00:00:00"/>
    <s v="Nederlandse"/>
    <s v="M"/>
    <s v="Tedingeroord 18"/>
    <s v="2493 ZD 'S-GRAVENHAGE"/>
    <s v="Nederland"/>
    <s v="youri.westhoek@gmail.com"/>
    <n v="-639432250"/>
    <n v="2013"/>
    <x v="1"/>
    <m/>
  </r>
  <r>
    <x v="1"/>
    <n v="4310446"/>
    <s v="bwitteveen"/>
    <s v="Witteveen"/>
    <s v="B.W.T. Witteveen"/>
    <s v="Beer"/>
    <x v="25"/>
    <s v="Turbolader"/>
    <s v="Dylan de Carvalho Cruz"/>
    <d v="1993-12-18T00:00:00"/>
    <s v="Nederlandse"/>
    <s v="M"/>
    <s v="Soestdijkseweg Zuid 223"/>
    <s v="3721 AD BILTHOVEN"/>
    <s v="Nederland"/>
    <s v="beerwitteveen@hotmail.com"/>
    <n v="-636096686"/>
    <n v="2013"/>
    <x v="1"/>
    <m/>
  </r>
  <r>
    <x v="1"/>
    <n v="4312996"/>
    <s v="sadams"/>
    <s v="Adams"/>
    <s v="S.J.L. Adams"/>
    <s v="Steven"/>
    <x v="26"/>
    <s v="Turbolader"/>
    <s v="Koen de Clercq"/>
    <d v="1995-04-10T00:00:00"/>
    <s v="Nederlandse"/>
    <s v="M"/>
    <s v="Diesterbaan 25"/>
    <s v="6006 TB WEERT"/>
    <s v="Nederland"/>
    <s v="steven.adams.95@hotmail.com"/>
    <n v="-657322465"/>
    <n v="2013"/>
    <x v="1"/>
    <m/>
  </r>
  <r>
    <x v="1"/>
    <n v="4280725"/>
    <s v="mdbesemer"/>
    <s v="Besemer"/>
    <s v="M.D. Besemer"/>
    <s v="Matthijs"/>
    <x v="26"/>
    <s v="Turbolader"/>
    <s v="Koen de Clercq"/>
    <d v="1995-05-02T00:00:00"/>
    <s v="Nederlandse"/>
    <s v="M"/>
    <s v="Gertrudishof 8"/>
    <s v="3291 GP STRIJEN"/>
    <s v="Nederland"/>
    <s v="matthijsbesemer@gmail.com"/>
    <n v="-614403208"/>
    <n v="2013"/>
    <x v="1"/>
    <m/>
  </r>
  <r>
    <x v="1"/>
    <n v="4276361"/>
    <s v="sbraadbaart"/>
    <s v="Braadbaart"/>
    <s v="S. Braadbaart"/>
    <s v="Sjoerd"/>
    <x v="26"/>
    <s v="Turbolader"/>
    <s v="Koen de Clercq"/>
    <d v="1994-10-22T00:00:00"/>
    <s v="Nederlandse"/>
    <s v="M"/>
    <s v="Bovenas 6"/>
    <s v="4873 HT ETTEN-LEUR"/>
    <s v="Nederland"/>
    <s v="s.braadbaart@live.nl"/>
    <n v="-634334924"/>
    <n v="2013"/>
    <x v="1"/>
    <m/>
  </r>
  <r>
    <x v="1"/>
    <n v="4275217"/>
    <s v="ivandeneijnden"/>
    <s v="Eijnden"/>
    <s v="I.S. van den Eijnden"/>
    <s v="Irfan"/>
    <x v="26"/>
    <s v="Turbolader"/>
    <s v="Koen de Clercq"/>
    <d v="1995-02-11T00:00:00"/>
    <s v="Nederlandse"/>
    <s v="M"/>
    <s v="Weidevogellaan 123"/>
    <s v="2496 LK 'S-GRAVENHAGE"/>
    <s v="Nederland"/>
    <s v="irfan_12@hotmail.com"/>
    <n v="-613870113"/>
    <n v="2013"/>
    <x v="1"/>
    <m/>
  </r>
  <r>
    <x v="1"/>
    <n v="4207084"/>
    <s v="lhavermans"/>
    <s v="Havermans"/>
    <s v="L.R.C. Havermans"/>
    <s v="Leo"/>
    <x v="26"/>
    <s v="Turbolader"/>
    <s v="Koen de Clercq"/>
    <d v="1994-12-02T00:00:00"/>
    <s v="Nederlandse"/>
    <s v="M"/>
    <s v="Schroeder vd Kolkstraat 26"/>
    <s v="2035 XS HAARLEM"/>
    <s v="Nederland"/>
    <s v="lrchavermans@gmail.com"/>
    <n v="-624216053"/>
    <n v="2012"/>
    <x v="2"/>
    <m/>
  </r>
  <r>
    <x v="1"/>
    <n v="4273109"/>
    <s v="npang"/>
    <s v="Pang"/>
    <s v="N.Y. Pang"/>
    <s v="Nahum"/>
    <x v="26"/>
    <s v="Turbolader"/>
    <s v="Koen de Clercq"/>
    <d v="1995-10-01T00:00:00"/>
    <s v="Nederlandse"/>
    <s v="M"/>
    <s v="Vista Royal G-31"/>
    <m/>
    <s v="Curaçao"/>
    <s v="nahum-95@hotmail.com"/>
    <n v="-6725688"/>
    <n v="2013"/>
    <x v="1"/>
    <m/>
  </r>
  <r>
    <x v="1"/>
    <n v="4303466"/>
    <s v="asogtoen"/>
    <s v="Sogtoen"/>
    <s v="A.P.M. Sogtoen"/>
    <s v="Alexander"/>
    <x v="26"/>
    <s v="Turbolader"/>
    <s v="Koen de Clercq"/>
    <d v="1995-07-29T00:00:00"/>
    <s v="Nederlandse"/>
    <s v="M"/>
    <s v="Witte Singel 22"/>
    <s v="2311 BG LEIDEN"/>
    <s v="Nederland"/>
    <s v="apmsogtoen@hotmail.com"/>
    <n v="-646612234"/>
    <n v="2013"/>
    <x v="1"/>
    <m/>
  </r>
  <r>
    <x v="1"/>
    <n v="4312309"/>
    <s v="lyoussifou"/>
    <s v="Youssifou"/>
    <s v="L. Youssifou"/>
    <s v="Laila"/>
    <x v="26"/>
    <s v="Turbolader"/>
    <s v="Koen de Clercq"/>
    <d v="1996-01-02T00:00:00"/>
    <s v="Nederlandse"/>
    <s v="V"/>
    <s v="Deurnestraat 28"/>
    <s v="1324 XA ALMERE"/>
    <s v="Nederland"/>
    <s v="laila_996@hotmail.com"/>
    <n v="-683265792"/>
    <n v="2013"/>
    <x v="1"/>
    <m/>
  </r>
  <r>
    <x v="1"/>
    <n v="4280563"/>
    <s v="tboot"/>
    <s v="Boot"/>
    <s v="T. Boot"/>
    <s v="Tim"/>
    <x v="27"/>
    <s v="Turbolader"/>
    <s v="Koen de Clercq"/>
    <d v="1995-05-18T00:00:00"/>
    <s v="Nederlandse"/>
    <s v="M"/>
    <s v="Keizersdijk 127"/>
    <s v="3291 CD STRIJEN"/>
    <s v="Nederland"/>
    <s v="tim-boot@hotmail.com"/>
    <n v="-627654786"/>
    <n v="2013"/>
    <x v="1"/>
    <m/>
  </r>
  <r>
    <x v="1"/>
    <n v="4284933"/>
    <s v="emcheung"/>
    <s v="Cheung"/>
    <s v="E.M. Cheung"/>
    <s v="Eunice"/>
    <x v="27"/>
    <s v="Turbolader"/>
    <s v="Koen de Clercq"/>
    <d v="1995-07-22T00:00:00"/>
    <s v="Nederlandse"/>
    <s v="V"/>
    <s v="Buitentuin 15"/>
    <s v="5301 WB ZALTBOMMEL"/>
    <s v="Nederland"/>
    <s v="eunice_cheung_ms@hotmail.com"/>
    <n v="-611753565"/>
    <n v="2013"/>
    <x v="1"/>
    <m/>
  </r>
  <r>
    <x v="1"/>
    <n v="4241401"/>
    <s v="pengel"/>
    <s v="Engel"/>
    <s v="P.P. Engel"/>
    <s v="Peter Paul"/>
    <x v="27"/>
    <s v="Turbolader"/>
    <s v="Koen de Clercq"/>
    <d v="1994-01-24T00:00:00"/>
    <s v="Nederlandse"/>
    <s v="M"/>
    <s v="Ringvaartpark 15"/>
    <s v="2907 LH CAPELLE AAN DEN IJSSEL"/>
    <s v="Nederland"/>
    <s v="peterpaulengel@yahoo.com"/>
    <m/>
    <n v="2012"/>
    <x v="10"/>
    <m/>
  </r>
  <r>
    <x v="1"/>
    <n v="4269195"/>
    <s v="rholder"/>
    <s v="Holder"/>
    <s v="R.A. Holder"/>
    <s v="Randy"/>
    <x v="27"/>
    <s v="Turbolader"/>
    <s v="Koen de Clercq"/>
    <d v="1995-07-28T00:00:00"/>
    <s v="Nederlandse"/>
    <s v="M"/>
    <s v="Kaminda Seruwaterloo 118"/>
    <m/>
    <s v="Curaçao"/>
    <s v="holder2001@hotmail.com"/>
    <n v="-95179816"/>
    <n v="2013"/>
    <x v="1"/>
    <m/>
  </r>
  <r>
    <x v="1"/>
    <n v="4285522"/>
    <s v="pkamp"/>
    <s v="Kamp"/>
    <s v="P.A. Kamp"/>
    <s v="Philip"/>
    <x v="27"/>
    <s v="Turbolader"/>
    <s v="Koen de Clercq"/>
    <d v="1995-06-13T00:00:00"/>
    <s v="Nederlandse"/>
    <s v="M"/>
    <s v="Vijverlaan 9"/>
    <s v="2411 AJ BODEGRAVEN"/>
    <s v="Nederland"/>
    <s v="info@aj-kamp.speedlinq.nl"/>
    <n v="-626947041"/>
    <n v="2013"/>
    <x v="1"/>
    <m/>
  </r>
  <r>
    <x v="1"/>
    <n v="4287436"/>
    <s v="rmoens"/>
    <s v="Moens"/>
    <s v="R.A.R. Moens"/>
    <s v="Roger"/>
    <x v="27"/>
    <s v="Turbolader"/>
    <s v="Koen de Clercq"/>
    <d v="1995-05-22T00:00:00"/>
    <s v="Belgische"/>
    <s v="M"/>
    <s v="Felix Poelsstraat 34"/>
    <s v="1150 Brussel"/>
    <s v="België"/>
    <s v="rogeramaurymoens@hotmail.com"/>
    <n v="-479593572"/>
    <n v="2013"/>
    <x v="1"/>
    <m/>
  </r>
  <r>
    <x v="1"/>
    <n v="4208439"/>
    <s v="grojer"/>
    <s v="Rojer"/>
    <s v="G.C. Rojer"/>
    <s v="Gideon"/>
    <x v="27"/>
    <s v="Turbolader"/>
    <s v="Koen de Clercq"/>
    <d v="1993-12-29T00:00:00"/>
    <s v="Nederlandse"/>
    <s v="M"/>
    <m/>
    <m/>
    <m/>
    <m/>
    <s v="0638712036"/>
    <n v="2013"/>
    <x v="0"/>
    <m/>
  </r>
  <r>
    <x v="1"/>
    <n v="4302605"/>
    <s v="tastrebus"/>
    <s v="Strebus"/>
    <s v="T.A. Strebus"/>
    <s v="Tom"/>
    <x v="27"/>
    <s v="Turbolader"/>
    <s v="Koen de Clercq"/>
    <d v="1995-01-24T00:00:00"/>
    <s v="Nederlandse"/>
    <s v="M"/>
    <s v="San Marco 49"/>
    <s v="2134 AK HOOFDDORP"/>
    <s v="Nederland"/>
    <s v="tommiesan11@hotmail.com"/>
    <n v="-618919651"/>
    <n v="2013"/>
    <x v="1"/>
    <m/>
  </r>
  <r>
    <x v="1"/>
    <n v="4301110"/>
    <s v="mvijlbrief"/>
    <s v="Vijlbrief"/>
    <s v="M.F. Vijlbrief"/>
    <s v="Mark"/>
    <x v="27"/>
    <s v="Turbolader"/>
    <s v="Koen de Clercq"/>
    <d v="1995-07-14T00:00:00"/>
    <s v="Nederlandse"/>
    <s v="M"/>
    <s v="Brahmsstraat 18"/>
    <s v="2992 ED BARENDRECHT"/>
    <s v="Nederland"/>
    <s v="mark_vijlbrief@live.nl"/>
    <n v="-610944099"/>
    <n v="2013"/>
    <x v="1"/>
    <m/>
  </r>
  <r>
    <x v="1"/>
    <n v="4287185"/>
    <s v="lbazuin"/>
    <s v="Bazuin"/>
    <s v="G.P.L. Bazuin"/>
    <s v="Loes"/>
    <x v="28"/>
    <s v="Cardanas"/>
    <s v="Sebastiaan van Didden"/>
    <d v="1994-12-09T00:00:00"/>
    <s v="Nederlandse"/>
    <s v="V"/>
    <s v="Van Polanenstraat 46"/>
    <s v="3341 GP HENDRIK-IDO-AMBACHT"/>
    <s v="Nederland"/>
    <s v="loesbazuin@hotmail.com"/>
    <m/>
    <n v="2013"/>
    <x v="1"/>
    <m/>
  </r>
  <r>
    <x v="1"/>
    <n v="4308735"/>
    <s v="fatvandam"/>
    <s v="Dam"/>
    <s v="F.A.T. van Dam"/>
    <s v="Floris"/>
    <x v="28"/>
    <s v="Cardanas"/>
    <s v="Sebastiaan van Didden"/>
    <d v="1995-05-22T00:00:00"/>
    <s v="Nederlandse"/>
    <s v="M"/>
    <s v="Biesven 9"/>
    <s v="5645 KL EINDHOVEN"/>
    <s v="Nederland"/>
    <s v="floris.vandam@hotmail.com"/>
    <n v="-630296764"/>
    <n v="2013"/>
    <x v="1"/>
    <m/>
  </r>
  <r>
    <x v="1"/>
    <n v="4327799"/>
    <s v="agori"/>
    <s v="Gori"/>
    <s v="A.G.J. Gori"/>
    <s v="Antoine"/>
    <x v="28"/>
    <s v="Cardanas"/>
    <s v="Sebastiaan van Didden"/>
    <d v="1995-02-19T00:00:00"/>
    <s v="Franse"/>
    <s v="M"/>
    <s v="Oranjelaan 76"/>
    <s v="2281 GH RIJSWIJK ZH"/>
    <s v="Nederland"/>
    <s v="antoine_gori@hotmail.com"/>
    <n v="-622587694"/>
    <n v="2013"/>
    <x v="1"/>
    <m/>
  </r>
  <r>
    <x v="1"/>
    <n v="4274040"/>
    <s v="esauveplanne"/>
    <s v="Sauveplanne"/>
    <s v="É.R. Sauveplanne"/>
    <s v="Etienne"/>
    <x v="28"/>
    <s v="Cardanas"/>
    <s v="Sebastiaan van Didden"/>
    <d v="1994-03-06T00:00:00"/>
    <s v="Nederlandse"/>
    <s v="M"/>
    <s v="Thorbeckestraat 12"/>
    <s v="2042 GM ZANDVOORT"/>
    <s v="Nederland"/>
    <s v="etjouh@hotmail.com"/>
    <n v="-621172169"/>
    <n v="2013"/>
    <x v="1"/>
    <m/>
  </r>
  <r>
    <x v="1"/>
    <n v="4315332"/>
    <s v="brschrijver"/>
    <s v="Schrijver"/>
    <s v="B.R. Schrijver"/>
    <s v="Boris"/>
    <x v="28"/>
    <s v="Cardanas"/>
    <s v="Sebastiaan van Didden"/>
    <d v="1992-12-24T00:00:00"/>
    <s v="Nederlandse"/>
    <s v="M"/>
    <s v="Dishoekseweg 34"/>
    <s v="4371 NH KOUDEKERKE"/>
    <s v="Nederland"/>
    <s v="boris@radialcontext.nl"/>
    <n v="-633784511"/>
    <n v="2013"/>
    <x v="1"/>
    <m/>
  </r>
  <r>
    <x v="1"/>
    <n v="4253795"/>
    <s v="yvallenduuk"/>
    <s v="Vallenduuk"/>
    <s v="Y. Vallenduuk"/>
    <s v="Yanniek"/>
    <x v="28"/>
    <s v="Cardanas"/>
    <s v="Sebastiaan van Didden"/>
    <d v="1994-01-30T00:00:00"/>
    <s v="Nederlandse"/>
    <s v="M"/>
    <s v="Prof. Evertslaan 132 A"/>
    <s v="2628 XZ DELFT"/>
    <s v="Nederland"/>
    <s v="yanniekvallenduuk@hotmail.com"/>
    <n v="-627414590"/>
    <n v="2012"/>
    <x v="10"/>
    <m/>
  </r>
  <r>
    <x v="1"/>
    <n v="4235819"/>
    <s v="swlvermeulen"/>
    <s v="Vermeulen"/>
    <s v="S.W.L. Vermeulen"/>
    <s v="Sander"/>
    <x v="28"/>
    <s v="Cardanas"/>
    <s v="Sebastiaan van Didden"/>
    <d v="1992-05-11T00:00:00"/>
    <s v="Nederlandse"/>
    <s v="M"/>
    <s v="Mauritslaan 9"/>
    <s v="5684 LD BEST"/>
    <s v="Nederland"/>
    <s v="sanderbmxvermeulen@gmail.com"/>
    <n v="-651452472"/>
    <n v="2013"/>
    <x v="1"/>
    <m/>
  </r>
  <r>
    <x v="1"/>
    <n v="4334329"/>
    <s v="twubbe"/>
    <s v="Wubbe"/>
    <s v="T. Wubbe"/>
    <s v="Tim"/>
    <x v="28"/>
    <s v="Cardanas"/>
    <s v="Sebastiaan van Didden"/>
    <d v="1995-07-04T00:00:00"/>
    <s v="Nederlandse"/>
    <s v="M"/>
    <s v="Leonardo Da Vincistraat 3"/>
    <s v="3822 EH AMERSFOORT"/>
    <s v="Nederland"/>
    <s v="t.wubbe@hotmail.com"/>
    <n v="-610568839"/>
    <n v="2013"/>
    <x v="1"/>
    <m/>
  </r>
  <r>
    <x v="1"/>
    <n v="4332369"/>
    <s v="nzwanenburg"/>
    <s v="Zwanenburg"/>
    <s v="N.C. Zwanenburg"/>
    <s v="Nienke"/>
    <x v="28"/>
    <s v="Cardanas"/>
    <s v="Sebastiaan van Didden"/>
    <d v="1993-09-27T00:00:00"/>
    <s v="Nederlandse"/>
    <s v="V"/>
    <s v="Schotervlielandstraat 4"/>
    <s v="2024 EA HAARLEM"/>
    <s v="Nederland"/>
    <s v="nienkezwanenburg@hotmail.com"/>
    <n v="-633750089"/>
    <n v="2013"/>
    <x v="1"/>
    <m/>
  </r>
  <r>
    <x v="1"/>
    <n v="4318498"/>
    <s v="jadelaar"/>
    <s v="Adelaar"/>
    <s v="J.L. Adelaar"/>
    <s v="Julian"/>
    <x v="29"/>
    <s v="Cardanas"/>
    <s v="Sebastiaan van Didden"/>
    <d v="1993-11-15T00:00:00"/>
    <s v="Nederlandse"/>
    <s v="M"/>
    <s v="Jan van Galenstraat 55"/>
    <s v="2014 AH HAARLEM"/>
    <s v="Nederland"/>
    <s v="jladelaar@xs4all.nl"/>
    <n v="-616469187"/>
    <n v="2013"/>
    <x v="1"/>
    <m/>
  </r>
  <r>
    <x v="1"/>
    <n v="4323394"/>
    <s v="dfigueroateran"/>
    <s v="Figueroa-Teran"/>
    <s v="D.A.E. Figueroa-Teran"/>
    <s v="Daniel"/>
    <x v="29"/>
    <s v="Cardanas"/>
    <s v="Sebastiaan van Didden"/>
    <d v="1994-03-21T00:00:00"/>
    <s v="Nederlandse"/>
    <s v="M"/>
    <s v="Van der Waalsstraat 66"/>
    <s v="2313 VE LEIDEN"/>
    <s v="Nederland"/>
    <s v="daefigo@gmail.com"/>
    <n v="-631204952"/>
    <n v="2013"/>
    <x v="1"/>
    <m/>
  </r>
  <r>
    <x v="1"/>
    <n v="4204204"/>
    <s v="rrgroenewegen"/>
    <s v="Groenewegen"/>
    <s v="R.R. Groenewegen"/>
    <s v="Rik"/>
    <x v="29"/>
    <s v="Cardanas"/>
    <s v="Sebastiaan van Didden"/>
    <d v="1993-11-17T00:00:00"/>
    <s v="Nederlandse"/>
    <s v="M"/>
    <s v="Weesperzijde 15 2hg"/>
    <s v="1091 EB AMSTERDAM"/>
    <s v="Nederland"/>
    <s v="rikrg@hotmail.com"/>
    <n v="-654703487"/>
    <n v="2013"/>
    <x v="1"/>
    <m/>
  </r>
  <r>
    <x v="1"/>
    <n v="4281403"/>
    <s v="javanthoff"/>
    <s v="Hoff"/>
    <s v="J.A. van 't Hoff"/>
    <s v="Jurriaan"/>
    <x v="29"/>
    <s v="Cardanas"/>
    <s v="Sebastiaan van Didden"/>
    <d v="1996-01-01T00:00:00"/>
    <s v="Nederlandse"/>
    <s v="M"/>
    <s v="Bennebroekerlaan 10"/>
    <s v="2121 GR BENNEBROEK"/>
    <s v="Nederland"/>
    <s v="mrfanstast@gmail.com"/>
    <n v="-647001999"/>
    <n v="2013"/>
    <x v="1"/>
    <m/>
  </r>
  <r>
    <x v="1"/>
    <n v="4304179"/>
    <s v="pjhogendoorn"/>
    <s v="Hogendoorn"/>
    <s v="P.J. Hogendoorn"/>
    <s v="Paul-Jan"/>
    <x v="29"/>
    <s v="Cardanas"/>
    <s v="Sebastiaan van Didden"/>
    <d v="1995-06-21T00:00:00"/>
    <s v="Nederlandse"/>
    <s v="M"/>
    <s v="Bosch 2 D"/>
    <s v="3331 GB ZWIJNDRECHT"/>
    <s v="Nederland"/>
    <s v="pallie95@gmail.com"/>
    <n v="-612758694"/>
    <n v="2013"/>
    <x v="1"/>
    <m/>
  </r>
  <r>
    <x v="1"/>
    <n v="4292510"/>
    <s v="tkerstens"/>
    <s v="Kerstens"/>
    <s v="T.M.P. Kerstens"/>
    <s v="Tim"/>
    <x v="29"/>
    <s v="Cardanas"/>
    <s v="Sebastiaan van Didden"/>
    <d v="1994-09-22T00:00:00"/>
    <s v="Nederlandse"/>
    <s v="M"/>
    <s v="Vijfhuizenberg 85"/>
    <s v="4708 AJ ROOSENDAAL"/>
    <s v="Nederland"/>
    <s v="tim.kerstens@gmail.com"/>
    <n v="-621181078"/>
    <n v="2013"/>
    <x v="1"/>
    <m/>
  </r>
  <r>
    <x v="1"/>
    <n v="4297814"/>
    <s v="anoukvisser"/>
    <s v="Visser"/>
    <s v="A. Visser"/>
    <s v="Anouk"/>
    <x v="29"/>
    <s v="Cardanas"/>
    <s v="Sebastiaan van Didden"/>
    <d v="1995-03-12T00:00:00"/>
    <s v="Nederlandse"/>
    <s v="V"/>
    <s v="Waterlelie 7"/>
    <s v="2851 ZL HAASTRECHT"/>
    <s v="Nederland"/>
    <s v="anoukvis@hotmail.nl"/>
    <n v="-634479858"/>
    <n v="2013"/>
    <x v="1"/>
    <m/>
  </r>
  <r>
    <x v="1"/>
    <n v="4323793"/>
    <s v="ovollebregt"/>
    <s v="Vollebregt"/>
    <s v="O. Vollebregt"/>
    <s v="Olav"/>
    <x v="29"/>
    <s v="Cardanas"/>
    <s v="Sebastiaan van Didden"/>
    <d v="1995-04-12T00:00:00"/>
    <s v="Nederlandse"/>
    <s v="M"/>
    <s v="Pieter Bregmanlaan 14"/>
    <s v="2641 PS PIJNACKER"/>
    <s v="Nederland"/>
    <s v="olavvollebregt@me.com"/>
    <n v="-620060469"/>
    <n v="2013"/>
    <x v="1"/>
    <m/>
  </r>
  <r>
    <x v="1"/>
    <n v="4278410"/>
    <s v="djblaauw"/>
    <s v="Blaauw"/>
    <s v="D.J. Blaauw"/>
    <s v="David"/>
    <x v="30"/>
    <s v="Cardanas"/>
    <s v="Alex van Domburg"/>
    <d v="1995-07-17T00:00:00"/>
    <s v="Nederlandse"/>
    <s v="M"/>
    <s v="Verdihof 11"/>
    <s v="2402 VA ALPHEN AAN DEN RIJN"/>
    <s v="Nederland"/>
    <s v="dblaauw@xs4all.nl"/>
    <m/>
    <n v="2013"/>
    <x v="1"/>
    <m/>
  </r>
  <r>
    <x v="1"/>
    <n v="4281322"/>
    <s v="bblankenaar"/>
    <s v="Blankenaar"/>
    <s v="B.K. Blankenaar"/>
    <s v="Britt"/>
    <x v="30"/>
    <s v="Cardanas"/>
    <s v="Alex van Domburg"/>
    <d v="1995-01-12T00:00:00"/>
    <s v="Nederlandse"/>
    <s v="V"/>
    <s v="Marga Klompelaan 9"/>
    <s v="2104 TB HEEMSTEDE"/>
    <s v="Nederland"/>
    <s v="britt_blankenaar@hotmail.com"/>
    <m/>
    <n v="2013"/>
    <x v="1"/>
    <m/>
  </r>
  <r>
    <x v="1"/>
    <n v="4295102"/>
    <s v="jboots"/>
    <s v="Boots"/>
    <s v="A.S.T. Boots"/>
    <s v="Jelle"/>
    <x v="30"/>
    <s v="Cardanas"/>
    <s v="Alex van Domburg"/>
    <d v="1995-03-16T00:00:00"/>
    <s v="Nederlandse"/>
    <s v="M"/>
    <s v="Donata Steurhof 9"/>
    <s v="1132 DC VOLENDAM"/>
    <s v="Nederland"/>
    <s v="jelle606@hotmail.com"/>
    <n v="-611729369"/>
    <n v="2013"/>
    <x v="1"/>
    <m/>
  </r>
  <r>
    <x v="1"/>
    <n v="4223608"/>
    <s v="gkoppes"/>
    <s v="Koppes"/>
    <s v="A.H. Koppes"/>
    <s v="Guus"/>
    <x v="30"/>
    <s v="Cardanas"/>
    <s v="Alex van Domburg"/>
    <d v="1994-08-26T00:00:00"/>
    <s v="Nederlandse"/>
    <s v="M"/>
    <s v="Kolblei 28"/>
    <s v="1633 DN AVENHORN"/>
    <s v="Nederland"/>
    <s v="guuskoppes@gmail.com"/>
    <n v="-643694302"/>
    <n v="2012"/>
    <x v="13"/>
    <m/>
  </r>
  <r>
    <x v="1"/>
    <n v="4296095"/>
    <s v="lnijdam"/>
    <s v="Nijdam"/>
    <s v="L.E. Nijdam"/>
    <s v="Lisanne"/>
    <x v="30"/>
    <s v="Cardanas"/>
    <s v="Alex van Domburg"/>
    <d v="1995-02-12T00:00:00"/>
    <s v="Nederlandse"/>
    <s v="V"/>
    <s v="Laan van Leeuwesteyn 10"/>
    <s v="2271 HK VOORBURG"/>
    <s v="Nederland"/>
    <s v="lisanne.n@telfort.nl"/>
    <n v="-617507005"/>
    <n v="2013"/>
    <x v="1"/>
    <m/>
  </r>
  <r>
    <x v="1"/>
    <n v="4309235"/>
    <s v="jwarner"/>
    <s v="Warner"/>
    <s v="J.A.I. Warner"/>
    <s v="Jamal"/>
    <x v="30"/>
    <s v="Cardanas"/>
    <s v="Alex van Domburg"/>
    <d v="1994-08-18T00:00:00"/>
    <s v="Nederlandse"/>
    <s v="M"/>
    <s v="Hannie Schaftrode 162"/>
    <s v="2717 HP ZOETERMEER"/>
    <s v="Nederland"/>
    <s v="jamal_warner1@hotmail.com"/>
    <n v="-618862585"/>
    <n v="2013"/>
    <x v="1"/>
    <m/>
  </r>
  <r>
    <x v="1"/>
    <n v="4287053"/>
    <s v="chhvanderwerf"/>
    <s v="Werf"/>
    <s v="C.H.H. van der Werf"/>
    <s v="Coen"/>
    <x v="30"/>
    <s v="Cardanas"/>
    <s v="Alex van Domburg"/>
    <d v="1995-10-30T00:00:00"/>
    <s v="Nederlandse"/>
    <s v="M"/>
    <s v="Oordje 1"/>
    <s v="8701 WD BOLSWARD"/>
    <s v="Nederland"/>
    <s v="coen.vanderwerf@gmail.com"/>
    <m/>
    <n v="2013"/>
    <x v="1"/>
    <m/>
  </r>
  <r>
    <x v="1"/>
    <n v="4327985"/>
    <s v="lwigchert"/>
    <s v="Wigchert"/>
    <s v="E.J. Wigchert"/>
    <s v="Lisanne"/>
    <x v="30"/>
    <s v="Cardanas"/>
    <s v="Alex van Domburg"/>
    <d v="1994-11-29T00:00:00"/>
    <s v="Nederlandse"/>
    <s v="V"/>
    <s v="Wulverderlaan 9"/>
    <s v="2071 BG SANTPOORT-NOORD"/>
    <s v="Nederland"/>
    <s v="lisanne_ej@live.nl"/>
    <n v="-615104632"/>
    <n v="2013"/>
    <x v="1"/>
    <m/>
  </r>
  <r>
    <x v="1"/>
    <n v="4282833"/>
    <s v="bvanast"/>
    <s v="Ast"/>
    <s v="B. van Ast"/>
    <s v="Beau"/>
    <x v="31"/>
    <s v="Cardanas"/>
    <s v="Alex van Domburg"/>
    <d v="1995-02-24T00:00:00"/>
    <s v="Nederlandse"/>
    <s v="V"/>
    <s v="Vlietweg 14"/>
    <s v="3314 AV DORDRECHT"/>
    <s v="Nederland"/>
    <s v="beauvanast@live.nl"/>
    <n v="-641338221"/>
    <n v="2013"/>
    <x v="1"/>
    <m/>
  </r>
  <r>
    <x v="1"/>
    <n v="4294386"/>
    <s v="sberends"/>
    <s v="Berends"/>
    <s v="C.C. Berends"/>
    <s v="Stan"/>
    <x v="31"/>
    <s v="Cardanas"/>
    <s v="Alex van Domburg"/>
    <d v="1994-10-11T00:00:00"/>
    <s v="Nederlandse"/>
    <s v="M"/>
    <s v="Kloofpad 24"/>
    <s v="2451 GC LEIMUIDEN"/>
    <s v="Nederland"/>
    <s v="stanberends_2@hotmail.com"/>
    <n v="-624934618"/>
    <n v="2013"/>
    <x v="1"/>
    <m/>
  </r>
  <r>
    <x v="1"/>
    <n v="4168518"/>
    <s v="luoqihu"/>
    <s v="Hu"/>
    <s v="L. Hu"/>
    <s v="Luoqi"/>
    <x v="31"/>
    <s v="Cardanas"/>
    <s v="Alex van Domburg"/>
    <d v="1991-06-21T00:00:00"/>
    <s v="Nederlandse"/>
    <s v="M"/>
    <s v="Van Heukelomstraat 218"/>
    <s v="3067 PM ROTTERDAM"/>
    <s v="Nederland"/>
    <s v="luoqi91@gmail.com"/>
    <n v="-653660398"/>
    <n v="2011"/>
    <x v="2"/>
    <m/>
  </r>
  <r>
    <x v="1"/>
    <n v="4314336"/>
    <s v="mijoosen"/>
    <s v="Joosen"/>
    <s v="M.I. Joosen"/>
    <s v="Max"/>
    <x v="31"/>
    <s v="Cardanas"/>
    <s v="Alex van Domburg"/>
    <d v="1995-05-24T00:00:00"/>
    <s v="Nederlandse"/>
    <s v="M"/>
    <s v="Ganzenweel 9"/>
    <s v="4844 TK TERHEIJDEN"/>
    <s v="Nederland"/>
    <s v="max.joosen@hotmail.nl"/>
    <n v="-637338495"/>
    <n v="2013"/>
    <x v="1"/>
    <m/>
  </r>
  <r>
    <x v="1"/>
    <n v="4304144"/>
    <s v="klekkerkerk"/>
    <s v="Lekkerkerk"/>
    <s v="K. Lekkerkerk"/>
    <s v="Kirsten"/>
    <x v="31"/>
    <s v="Cardanas"/>
    <s v="Alex van Domburg"/>
    <d v="1994-11-15T00:00:00"/>
    <s v="Nederlandse"/>
    <s v="V"/>
    <s v="A van 't Hartweg 54"/>
    <s v="2913 LG NIEUWERKERK AD IJSSEL"/>
    <s v="Nederland"/>
    <s v="kirsten7954@gmail.com"/>
    <m/>
    <n v="2013"/>
    <x v="1"/>
    <m/>
  </r>
  <r>
    <x v="1"/>
    <n v="4323653"/>
    <s v="jtielgroeneste"/>
    <s v="Tiel Groenestege"/>
    <s v="J.J. Tiel Groenestege"/>
    <s v="Jurjen"/>
    <x v="31"/>
    <s v="Cardanas"/>
    <s v="Alex van Domburg"/>
    <d v="1994-12-30T00:00:00"/>
    <s v="Nederlandse"/>
    <s v="M"/>
    <s v="Bongert 13"/>
    <s v="6994 BV DE STEEG"/>
    <s v="Nederland"/>
    <s v="j.tielgroenestege@gmail.com"/>
    <n v="-646388850"/>
    <n v="2013"/>
    <x v="1"/>
    <m/>
  </r>
  <r>
    <x v="1"/>
    <n v="4295218"/>
    <s v="htijseling"/>
    <s v="Tijseling"/>
    <s v="H. Tijseling"/>
    <s v="Hessel"/>
    <x v="31"/>
    <s v="Cardanas"/>
    <s v="Alex van Domburg"/>
    <d v="1995-08-15T00:00:00"/>
    <s v="Nederlandse"/>
    <s v="M"/>
    <s v="Koggewaard 129"/>
    <s v="1824 GT ALKMAAR"/>
    <s v="Nederland"/>
    <s v="hessel.3@hotmail.com"/>
    <n v="-618448136"/>
    <n v="2013"/>
    <x v="1"/>
    <m/>
  </r>
  <r>
    <x v="1"/>
    <n v="4286405"/>
    <s v="mwijnja"/>
    <s v="Wijnja"/>
    <s v="M.A. Wijnja"/>
    <s v="Marten"/>
    <x v="31"/>
    <s v="Cardanas"/>
    <s v="Alex van Domburg"/>
    <d v="1994-11-17T00:00:00"/>
    <s v="Nederlandse"/>
    <s v="M"/>
    <s v="It Stalt 1"/>
    <s v="8731 EA WOMMELS"/>
    <s v="Nederland"/>
    <s v="martenwijnja@gmail.com"/>
    <n v="-644920955"/>
    <n v="2013"/>
    <x v="1"/>
    <m/>
  </r>
  <r>
    <x v="1"/>
    <n v="4217055"/>
    <s v="tbertz"/>
    <s v="Bertz"/>
    <s v="T.R. Bertz"/>
    <s v="Tjeerd"/>
    <x v="32"/>
    <s v="Cardanas"/>
    <s v="Jacco Vos"/>
    <d v="1994-06-15T00:00:00"/>
    <s v="Nederlandse"/>
    <s v="M"/>
    <s v="Menno ter Braaklaan 1"/>
    <s v="2343 KP OEGSTGEEST"/>
    <s v="Nederland"/>
    <s v="t.jeerd@live.nl"/>
    <n v="-648361832"/>
    <n v="2012"/>
    <x v="16"/>
    <m/>
  </r>
  <r>
    <x v="1"/>
    <n v="4307887"/>
    <s v="lievebouwman"/>
    <s v="Bouwman"/>
    <s v="L. Bouwman"/>
    <s v="Lieve"/>
    <x v="32"/>
    <s v="Cardanas"/>
    <s v="Jacco Vos"/>
    <d v="1995-11-13T00:00:00"/>
    <s v="Nederlandse"/>
    <s v="V"/>
    <s v="Annastraat 16"/>
    <s v="6862 CH OOSTERBEEK"/>
    <s v="Nederland"/>
    <s v="lieve_bouwman@hotmail.com"/>
    <n v="-618449554"/>
    <n v="2013"/>
    <x v="1"/>
    <m/>
  </r>
  <r>
    <x v="1"/>
    <n v="4209893"/>
    <s v="sdhont"/>
    <s v="d'Hont"/>
    <s v="S. d'Hont"/>
    <s v="Sander"/>
    <x v="32"/>
    <s v="Cardanas"/>
    <s v="Jacco Vos"/>
    <d v="1993-12-20T00:00:00"/>
    <s v="Nederlandse"/>
    <s v="M"/>
    <s v="Hoefkensdijk 17"/>
    <s v="4584 RS KUITAART"/>
    <s v="Nederland"/>
    <s v="sanderovitskaa@zeelandnet.nl"/>
    <n v="-611167924"/>
    <n v="2012"/>
    <x v="2"/>
    <m/>
  </r>
  <r>
    <x v="1"/>
    <n v="4319125"/>
    <s v="keijgenraam"/>
    <s v="Eijgenraam"/>
    <s v="K.S. Eijgenraam"/>
    <s v="Koen"/>
    <x v="32"/>
    <s v="Cardanas"/>
    <s v="Jacco Vos"/>
    <d v="1993-10-04T00:00:00"/>
    <s v="Nederlandse"/>
    <s v="M"/>
    <s v="Mirtebes 7"/>
    <s v="2318 AW LEIDEN"/>
    <s v="Nederland"/>
    <s v="koen.eijg@hotmail.com"/>
    <n v="-634447535"/>
    <n v="2013"/>
    <x v="1"/>
    <m/>
  </r>
  <r>
    <x v="1"/>
    <n v="4291298"/>
    <s v="jschorning"/>
    <s v="Schorning"/>
    <s v="J.R. Schorning"/>
    <s v="Jeroen"/>
    <x v="32"/>
    <s v="Cardanas"/>
    <s v="Jacco Vos"/>
    <d v="1995-10-13T00:00:00"/>
    <s v="Nederlandse"/>
    <s v="M"/>
    <s v="Westeinde 60"/>
    <s v="2825 AL BERKENWOUDE"/>
    <s v="Nederland"/>
    <s v="schor141@planet.nl"/>
    <n v="-641800948"/>
    <n v="2013"/>
    <x v="1"/>
    <m/>
  </r>
  <r>
    <x v="1"/>
    <n v="4296214"/>
    <s v="rschrijen"/>
    <s v="Schrijen"/>
    <s v="R.R. Schrijen"/>
    <s v="Remy"/>
    <x v="32"/>
    <s v="Cardanas"/>
    <s v="Jacco Vos"/>
    <d v="1995-02-25T00:00:00"/>
    <s v="Nederlandse"/>
    <s v="M"/>
    <s v="Cadmiumgeel 24"/>
    <s v="2718 BK ZOETERMEER"/>
    <s v="Nederland"/>
    <s v="r.schrijen@gmail.com"/>
    <n v="-636121089"/>
    <n v="2013"/>
    <x v="1"/>
    <m/>
  </r>
  <r>
    <x v="1"/>
    <n v="4299140"/>
    <s v="bwagemaker"/>
    <s v="Wagemaker"/>
    <s v="S.J. Wagemaker"/>
    <s v="Bas"/>
    <x v="32"/>
    <s v="Cardanas"/>
    <s v="Jacco Vos"/>
    <d v="1994-09-24T00:00:00"/>
    <s v="Nederlandse"/>
    <s v="M"/>
    <s v="C. van Eesterenplein 142"/>
    <s v="1333 KS ALMERE"/>
    <s v="Nederland"/>
    <s v="bas_wagemaker@hotmail.com"/>
    <n v="-640959951"/>
    <n v="2013"/>
    <x v="1"/>
    <m/>
  </r>
  <r>
    <x v="1"/>
    <n v="4298845"/>
    <s v="bwijsman"/>
    <s v="Wijsman"/>
    <s v="B.C. Wijsman"/>
    <s v="Bram"/>
    <x v="32"/>
    <s v="Cardanas"/>
    <s v="Jacco Vos"/>
    <d v="1994-12-19T00:00:00"/>
    <s v="Nederlandse"/>
    <s v="M"/>
    <s v="Holterweg 94"/>
    <s v="7429 AH COLMSCHATE"/>
    <s v="Nederland"/>
    <s v="b_wijsman@live.nl"/>
    <n v="-628823138"/>
    <n v="2013"/>
    <x v="1"/>
    <m/>
  </r>
  <r>
    <x v="1"/>
    <n v="4330021"/>
    <s v="pjbreedveld"/>
    <s v="Breedveld"/>
    <s v="P.J. Breedveld"/>
    <s v="Pam"/>
    <x v="33"/>
    <s v="Cardanas"/>
    <s v="Jacco Vos"/>
    <d v="1995-07-19T00:00:00"/>
    <s v="Nederlandse"/>
    <s v="V"/>
    <s v="Graaf Florisweg 46"/>
    <s v="2805 AM GOUDA"/>
    <s v="Nederland"/>
    <s v="pam1995@live.nl"/>
    <n v="-634915549"/>
    <n v="2013"/>
    <x v="1"/>
    <m/>
  </r>
  <r>
    <x v="1"/>
    <n v="4280571"/>
    <s v="mcapkin"/>
    <s v="Capkin"/>
    <s v="M.C. Capkin"/>
    <s v="Mert"/>
    <x v="33"/>
    <s v="Cardanas"/>
    <s v="Jacco Vos"/>
    <d v="1994-12-05T00:00:00"/>
    <s v="Nederlandse"/>
    <s v="M"/>
    <s v="Johan Wagenaarlaan 12"/>
    <s v="2132 KE HOOFDDORP"/>
    <s v="Nederland"/>
    <s v="mertcapkin@gmail.com"/>
    <n v="-614453952"/>
    <n v="2013"/>
    <x v="1"/>
    <m/>
  </r>
  <r>
    <x v="1"/>
    <n v="4314131"/>
    <s v="kharteveld"/>
    <s v="Harteveld"/>
    <s v="K.W. Harteveld"/>
    <s v="Kasper"/>
    <x v="33"/>
    <s v="Cardanas"/>
    <s v="Jacco Vos"/>
    <d v="1995-04-26T00:00:00"/>
    <s v="Nederlandse"/>
    <s v="M"/>
    <s v="Veerstraat 6"/>
    <s v="2377 AK OUDE WETERING"/>
    <s v="Nederland"/>
    <s v="kasperharteveld@gmail.com"/>
    <n v="-629365677"/>
    <n v="2013"/>
    <x v="1"/>
    <m/>
  </r>
  <r>
    <x v="1"/>
    <n v="4278631"/>
    <s v="hhjvanderheijd"/>
    <s v="Heijden"/>
    <s v="H.H.J. van der Heijden"/>
    <s v="Hugo"/>
    <x v="33"/>
    <s v="Cardanas"/>
    <s v="Jacco Vos"/>
    <d v="1994-12-30T00:00:00"/>
    <s v="Nederlandse"/>
    <s v="M"/>
    <s v="Broekwal 29"/>
    <s v="5268 HA HELVOIRT"/>
    <s v="Nederland"/>
    <s v="info@hugovanderheijden.nl"/>
    <n v="-653593184"/>
    <n v="2013"/>
    <x v="1"/>
    <m/>
  </r>
  <r>
    <x v="1"/>
    <n v="4297458"/>
    <s v="fqlucas"/>
    <s v="Lucas"/>
    <s v="F.Q. Lucas"/>
    <s v="Floryn"/>
    <x v="33"/>
    <s v="Cardanas"/>
    <s v="Jacco Vos"/>
    <d v="1995-01-30T00:00:00"/>
    <s v="Nederlandse"/>
    <s v="M"/>
    <s v="Onderlangs 10"/>
    <s v="3062 CK ROTTERDAM"/>
    <s v="Nederland"/>
    <s v="floryn@onderlangs10.nl"/>
    <n v="-633659923"/>
    <n v="2013"/>
    <x v="1"/>
    <m/>
  </r>
  <r>
    <x v="1"/>
    <n v="4277007"/>
    <s v="yrecillaspache"/>
    <s v="Recillas Pacheco"/>
    <s v="Y.B. Recillas Pacheco"/>
    <s v="Yasper"/>
    <x v="33"/>
    <s v="Cardanas"/>
    <s v="Jacco Vos"/>
    <d v="1995-04-19T00:00:00"/>
    <s v="Nederlandse"/>
    <s v="M"/>
    <s v="Olivier van Noortstraat 26"/>
    <s v="4812 RC BREDA"/>
    <s v="Nederland"/>
    <s v="yasper.recillas@hotmail.com"/>
    <n v="-621564906"/>
    <n v="2013"/>
    <x v="1"/>
    <m/>
  </r>
  <r>
    <x v="1"/>
    <n v="4323521"/>
    <s v="hnhsterk"/>
    <s v="Sterk"/>
    <s v="H.N.H. Sterk"/>
    <s v="Hidde"/>
    <x v="33"/>
    <s v="Cardanas"/>
    <s v="Jacco Vos"/>
    <d v="1993-08-11T00:00:00"/>
    <s v="Nederlandse"/>
    <s v="M"/>
    <s v="Zocherstraat 131"/>
    <s v="3067 AV ROTTERDAM"/>
    <s v="Nederland"/>
    <s v="hiddesterk@hotmail.com"/>
    <n v="-620101978"/>
    <n v="2013"/>
    <x v="1"/>
    <m/>
  </r>
  <r>
    <x v="1"/>
    <n v="4273877"/>
    <s v="luittenbroek"/>
    <s v="Uittenbroek"/>
    <s v="L.H. Uittenbroek"/>
    <s v="Lennard"/>
    <x v="33"/>
    <s v="Cardanas"/>
    <s v="Jacco Vos"/>
    <d v="1995-06-24T00:00:00"/>
    <s v="Nederlandse"/>
    <s v="M"/>
    <s v="Eendenparkweg 13 2 BY"/>
    <s v="3852 LD ERMELO"/>
    <s v="Nederland"/>
    <s v="lennarduittenbroek@live.nl"/>
    <n v="-622861726"/>
    <n v="2013"/>
    <x v="1"/>
    <m/>
  </r>
  <r>
    <x v="1"/>
    <n v="4327217"/>
    <s v="lbijker"/>
    <s v="Bijker"/>
    <s v="L.A. Bijker"/>
    <s v="Laurens"/>
    <x v="34"/>
    <s v="Cardanas"/>
    <s v="Lotte Grootveld"/>
    <d v="1994-07-16T00:00:00"/>
    <s v="Nederlandse"/>
    <s v="M"/>
    <s v="G. Pirestraat 57"/>
    <s v="9728 WK GRONINGEN"/>
    <s v="Nederland"/>
    <s v="laurens_ab@hotmail.com"/>
    <n v="-646711167"/>
    <n v="2013"/>
    <x v="1"/>
    <m/>
  </r>
  <r>
    <x v="1"/>
    <n v="4099982"/>
    <s v="cgurler"/>
    <s v="Gürler"/>
    <s v="C. Gürler"/>
    <s v="cuma"/>
    <x v="34"/>
    <s v="Cardanas"/>
    <s v="Lotte Grootveld"/>
    <d v="1991-11-22T00:00:00"/>
    <s v="Nederlandse"/>
    <s v="M"/>
    <s v="Karveelstraat 8"/>
    <s v="1503 BG ZAANDAM"/>
    <s v="Nederland"/>
    <s v="cumagurler@gmail.com"/>
    <n v="-644135736"/>
    <n v="2013"/>
    <x v="1"/>
    <m/>
  </r>
  <r>
    <x v="1"/>
    <n v="4231619"/>
    <s v="jhoorneman"/>
    <s v="Hoorneman"/>
    <s v="J.D. Hoorneman"/>
    <s v="Jochem"/>
    <x v="34"/>
    <s v="Cardanas"/>
    <s v="Lotte Grootveld"/>
    <d v="1993-05-05T00:00:00"/>
    <s v="Nederlandse"/>
    <s v="M"/>
    <s v="Spoorlaan 31"/>
    <s v="3721 PA BILTHOVEN"/>
    <s v="Nederland"/>
    <s v="jochem.hoorneman@outlook.com"/>
    <n v="-639477386"/>
    <n v="2013"/>
    <x v="1"/>
    <m/>
  </r>
  <r>
    <x v="1"/>
    <n v="4272722"/>
    <s v="diesmulder"/>
    <s v="Mulder"/>
    <s v="D.M. Mulder"/>
    <s v="Dies"/>
    <x v="34"/>
    <s v="Cardanas"/>
    <s v="Lotte Grootveld"/>
    <d v="1994-01-30T00:00:00"/>
    <s v="Nederlandse"/>
    <s v="M"/>
    <s v="Egelantiersstraat 260"/>
    <s v="1015 PT AMSTERDAM"/>
    <s v="Nederland"/>
    <s v="dies.m@hotmail.com"/>
    <n v="-620720927"/>
    <n v="2013"/>
    <x v="1"/>
    <m/>
  </r>
  <r>
    <x v="1"/>
    <n v="4288971"/>
    <s v="jmschepers"/>
    <s v="Schepers"/>
    <s v="J.M. Schepers"/>
    <s v="Job"/>
    <x v="34"/>
    <s v="Cardanas"/>
    <s v="Lotte Grootveld"/>
    <d v="1995-07-08T00:00:00"/>
    <s v="Nederlandse"/>
    <s v="M"/>
    <s v="Hoge Zijde 41"/>
    <s v="4854 AG BAVEL"/>
    <s v="Nederland"/>
    <s v="jobschepers@me.com"/>
    <n v="-631351314"/>
    <n v="2013"/>
    <x v="1"/>
    <m/>
  </r>
  <r>
    <x v="1"/>
    <n v="4223748"/>
    <s v="dseegers"/>
    <s v="Seegers"/>
    <s v="D.J.L. Seegers"/>
    <s v="Daan"/>
    <x v="34"/>
    <s v="Cardanas"/>
    <s v="Lotte Grootveld"/>
    <d v="1994-03-02T00:00:00"/>
    <s v="Nederlandse"/>
    <s v="M"/>
    <s v="Hoogstuk 52 BY"/>
    <s v="6651 ER DRUTEN"/>
    <s v="Nederland"/>
    <s v="daanseegers01@gmail.com"/>
    <m/>
    <n v="2013"/>
    <x v="1"/>
    <m/>
  </r>
  <r>
    <x v="1"/>
    <n v="4326571"/>
    <s v="bstolk"/>
    <s v="Stolk"/>
    <s v="B.E. Stolk"/>
    <s v="Bart"/>
    <x v="34"/>
    <s v="Cardanas"/>
    <s v="Lotte Grootveld"/>
    <d v="1993-09-06T00:00:00"/>
    <s v="Nederlandse"/>
    <s v="M"/>
    <s v="Arnemuiderpad 8"/>
    <s v="2652 EV BERKEL EN RODENRIJS"/>
    <s v="Nederland"/>
    <s v="bart_de_basketballer_700@hotmail.com"/>
    <n v="-643796174"/>
    <n v="2013"/>
    <x v="1"/>
    <m/>
  </r>
  <r>
    <x v="1"/>
    <n v="4100344"/>
    <s v="vstuylingdelange"/>
    <s v="Stuyling de Lange"/>
    <s v="V.J.A. Stuyling de Lange"/>
    <s v="Vosse"/>
    <x v="34"/>
    <s v="Cardanas"/>
    <s v="Lotte Grootveld"/>
    <d v="1992-03-20T00:00:00"/>
    <s v="Nederlandse"/>
    <s v="V"/>
    <s v="Libanonweg 30 c"/>
    <s v="3061 KJ ROTTERDAM"/>
    <s v="Nederland"/>
    <s v="vossestuyling@gmail.com"/>
    <n v="-647151560"/>
    <n v="2013"/>
    <x v="1"/>
    <m/>
  </r>
  <r>
    <x v="1"/>
    <n v="4312716"/>
    <s v="damclaessens"/>
    <s v="Claessens"/>
    <s v="D.A.M. Claessens"/>
    <s v="Daan"/>
    <x v="35"/>
    <s v="Cardanas"/>
    <s v="Lotte Grootveld"/>
    <d v="1995-01-27T00:00:00"/>
    <s v="Nederlandse"/>
    <s v="M"/>
    <s v="Speenkruidstraat 17"/>
    <s v="2555 PN 'S-GRAVENHAGE"/>
    <s v="Nederland"/>
    <s v="daantje_ctje@hotmail.com"/>
    <n v="-683579809"/>
    <n v="2013"/>
    <x v="1"/>
    <m/>
  </r>
  <r>
    <x v="1"/>
    <n v="4310276"/>
    <s v="tedridge"/>
    <s v="Edridge"/>
    <s v="T.I. Edridge"/>
    <s v="Thom"/>
    <x v="35"/>
    <s v="Cardanas"/>
    <s v="Lotte Grootveld"/>
    <d v="1994-04-22T00:00:00"/>
    <s v="Nederlandse"/>
    <s v="M"/>
    <s v="Noorderweg 168"/>
    <s v="1222 PH HILVERSUM"/>
    <s v="Nederland"/>
    <s v="thomasedridge@gmail.com"/>
    <n v="-610710879"/>
    <n v="2013"/>
    <x v="1"/>
    <m/>
  </r>
  <r>
    <x v="1"/>
    <n v="4160045"/>
    <s v="ajvandergraaf"/>
    <s v="Graaf"/>
    <s v="A.J. van der Graaf"/>
    <s v="Alexander"/>
    <x v="35"/>
    <s v="Cardanas"/>
    <s v="Lotte Grootveld"/>
    <d v="1993-06-02T00:00:00"/>
    <s v="Nederlandse"/>
    <s v="M"/>
    <s v="De Regge 1"/>
    <s v="5626 GZ EINDHOVEN"/>
    <s v="Nederland"/>
    <s v="alibaba_264@hotmail.com"/>
    <n v="-650915872"/>
    <n v="2013"/>
    <x v="1"/>
    <m/>
  </r>
  <r>
    <x v="1"/>
    <n v="4310322"/>
    <s v="wouterhoek"/>
    <s v="Hoek"/>
    <s v="W. Hoek"/>
    <s v="Wouter"/>
    <x v="35"/>
    <s v="Cardanas"/>
    <s v="Lotte Grootveld"/>
    <d v="1996-03-27T00:00:00"/>
    <s v="Nederlandse"/>
    <s v="M"/>
    <s v="De Meente 16"/>
    <s v="3823 GR AMERSFOORT"/>
    <s v="Nederland"/>
    <s v="wouterh1996@gmail.com"/>
    <n v="-612189320"/>
    <n v="2013"/>
    <x v="1"/>
    <m/>
  </r>
  <r>
    <x v="1"/>
    <n v="4313305"/>
    <s v="wjmhuygen"/>
    <s v="Huygen"/>
    <s v="W.J.M. Huygen"/>
    <s v="Wouter"/>
    <x v="35"/>
    <s v="Cardanas"/>
    <s v="Lotte Grootveld"/>
    <d v="1995-06-28T00:00:00"/>
    <s v="Nederlandse"/>
    <s v="M"/>
    <s v="Burg de Villeneuvesingel 4"/>
    <s v="3055 AN ROTTERDAM"/>
    <s v="Nederland"/>
    <s v="f.huygen@hetnet.nl"/>
    <n v="-681033463"/>
    <n v="2013"/>
    <x v="1"/>
    <m/>
  </r>
  <r>
    <x v="1"/>
    <n v="4302990"/>
    <s v="sdenooy"/>
    <s v="Nooy"/>
    <s v="S. de Nooy"/>
    <s v="Sam"/>
    <x v="35"/>
    <s v="Cardanas"/>
    <s v="Lotte Grootveld"/>
    <d v="1995-08-07T00:00:00"/>
    <s v="Nederlandse"/>
    <s v="M"/>
    <s v="Dirkje Goedhartstraat 18"/>
    <s v="3065 HH ROTTERDAM"/>
    <s v="Nederland"/>
    <s v="sam_de_nooy@live.nl"/>
    <n v="-639663012"/>
    <n v="2013"/>
    <x v="1"/>
    <m/>
  </r>
  <r>
    <x v="1"/>
    <n v="4328582"/>
    <s v="lstaats"/>
    <s v="Staats"/>
    <s v="L.T. Staats"/>
    <s v="Laurens"/>
    <x v="35"/>
    <s v="Cardanas"/>
    <s v="Lotte Grootveld"/>
    <d v="1994-05-10T00:00:00"/>
    <s v="Nederlandse"/>
    <s v="M"/>
    <s v="de Laat de Kanterstraat 42"/>
    <s v="2313 JV LEIDEN"/>
    <s v="Nederland"/>
    <s v="laurens.33@hotmail.com"/>
    <n v="-621197227"/>
    <n v="2013"/>
    <x v="1"/>
    <m/>
  </r>
  <r>
    <x v="1"/>
    <n v="1549669"/>
    <s v="hzuidervaart"/>
    <s v="Zuidervaart "/>
    <s v="H.H. Zuidervaart"/>
    <s v="Hans"/>
    <x v="35"/>
    <s v="Cardanas"/>
    <s v="Lotte Grootveld"/>
    <d v="1989-10-18T00:00:00"/>
    <s v="Nederlandse"/>
    <s v="M"/>
    <m/>
    <m/>
    <m/>
    <m/>
    <m/>
    <n v="2013"/>
    <x v="1"/>
    <s v="2008 op tijd gestaakt"/>
  </r>
  <r>
    <x v="1"/>
    <n v="4208714"/>
    <s v="rwvanbaren"/>
    <s v="Baren"/>
    <s v="R. van Baren"/>
    <s v="Rutger"/>
    <x v="36"/>
    <s v="Cardanas"/>
    <s v="Danny Hameeteman"/>
    <d v="1993-11-13T00:00:00"/>
    <s v="Nederlands"/>
    <s v="M"/>
    <m/>
    <m/>
    <s v="Nederland"/>
    <s v="rutgervanbaren@gmail.com"/>
    <n v="31642389105"/>
    <n v="2013"/>
    <x v="1"/>
    <s v="voor 2e semester 2012 gestopt"/>
  </r>
  <r>
    <x v="1"/>
    <n v="4290011"/>
    <s v="jcrompvoets"/>
    <s v="Crompvoets"/>
    <s v="J.P.A. Crompvoets"/>
    <s v="Jeroen"/>
    <x v="36"/>
    <s v="Cardanas"/>
    <s v="Danny Hameeteman"/>
    <d v="1995-05-24T00:00:00"/>
    <s v="Nederlandse"/>
    <s v="M"/>
    <s v="Rietveldstraat 1"/>
    <s v="6132 SB SITTARD"/>
    <s v="Nederland"/>
    <s v="tennispro84_jeroen@hotmail.com"/>
    <n v="-639594440"/>
    <n v="2013"/>
    <x v="1"/>
    <m/>
  </r>
  <r>
    <x v="1"/>
    <n v="4289153"/>
    <s v="raymondvandijv"/>
    <s v="Dijk"/>
    <s v="R. van Dijk"/>
    <s v="Raymond"/>
    <x v="36"/>
    <s v="Cardanas"/>
    <s v="Danny Hameeteman"/>
    <d v="1994-11-16T00:00:00"/>
    <s v="Nederlandse"/>
    <s v="M"/>
    <s v="Fabianusstraat 33"/>
    <s v="7333 BC APELDOORN"/>
    <s v="Nederland"/>
    <s v="vandijkraymond@gmail.com"/>
    <n v="-630557554"/>
    <n v="2013"/>
    <x v="1"/>
    <m/>
  </r>
  <r>
    <x v="1"/>
    <n v="4318986"/>
    <s v="jjdijkstra"/>
    <s v="Dijkstra"/>
    <s v="J.J. Dijkstra"/>
    <s v="Joost"/>
    <x v="36"/>
    <s v="Cardanas"/>
    <s v="Danny Hameeteman"/>
    <d v="1995-06-19T00:00:00"/>
    <s v="Nederlandse"/>
    <s v="M"/>
    <s v="Waardenburg 125"/>
    <s v="2181 LR HILLEGOM"/>
    <s v="Nederland"/>
    <s v="joostdijkstra1995@gmail.com"/>
    <n v="-641701869"/>
    <n v="2013"/>
    <x v="1"/>
    <m/>
  </r>
  <r>
    <x v="1"/>
    <n v="4287908"/>
    <s v="jlardinois"/>
    <s v="Lardinois"/>
    <s v="J.C. Lardinois"/>
    <s v="Joris"/>
    <x v="36"/>
    <s v="Cardanas"/>
    <s v="Danny Hameeteman"/>
    <d v="1995-05-15T00:00:00"/>
    <s v="Nederlandse"/>
    <s v="M"/>
    <s v="Beeklaan 426"/>
    <s v="2562 BJ 'S-GRAVENHAGE"/>
    <s v="Nederland"/>
    <s v="joris.lardinois@live.nl"/>
    <n v="-641025782"/>
    <n v="2013"/>
    <x v="1"/>
    <m/>
  </r>
  <r>
    <x v="1"/>
    <n v="4324196"/>
    <s v="rmarcus"/>
    <s v="Marcus"/>
    <s v="R.M.A. Marcus"/>
    <s v="Rogier"/>
    <x v="36"/>
    <s v="Cardanas"/>
    <s v="Danny Hameeteman"/>
    <d v="1995-09-14T00:00:00"/>
    <s v="Nederlandse"/>
    <s v="M"/>
    <m/>
    <m/>
    <s v="Nederland"/>
    <s v="rogier.maruis@hotmail.com"/>
    <n v="31640609354"/>
    <n v="2013"/>
    <x v="1"/>
    <m/>
  </r>
  <r>
    <x v="1"/>
    <n v="4207963"/>
    <s v="amihalevschi"/>
    <s v="Mihalevschi"/>
    <s v="A.I. Mihalevschi"/>
    <s v="Anton"/>
    <x v="36"/>
    <s v="Cardanas"/>
    <s v="Danny Hameeteman"/>
    <d v="1994-05-24T00:00:00"/>
    <s v="Nederlandse"/>
    <s v="M"/>
    <s v="Elly Kerckhoffskade 10"/>
    <s v="2324 DH LEIDEN"/>
    <s v="Nederland"/>
    <s v="anton.mlp@gmail.com"/>
    <n v="-639507059"/>
    <n v="2012"/>
    <x v="2"/>
    <m/>
  </r>
  <r>
    <x v="1"/>
    <n v="4313909"/>
    <s v="koenverbruggen"/>
    <s v="Verbruggen"/>
    <s v="K. Verbruggen"/>
    <s v="Koen"/>
    <x v="36"/>
    <s v="Cardanas"/>
    <s v="Danny Hameeteman"/>
    <d v="1994-07-12T00:00:00"/>
    <s v="Nederlandse"/>
    <s v="M"/>
    <s v="Weigelialaan 56"/>
    <s v="3053 PP ROTTERDAM"/>
    <s v="Nederland"/>
    <s v="koen_verbruggen@msn.com"/>
    <n v="-636173698"/>
    <n v="2013"/>
    <x v="1"/>
    <m/>
  </r>
  <r>
    <x v="1"/>
    <n v="4297369"/>
    <s v="santonisse"/>
    <s v="Antonisse"/>
    <s v="S.J. Antonisse"/>
    <s v="Stijn"/>
    <x v="37"/>
    <s v="Cardanas"/>
    <s v="Danny Hameeteman"/>
    <d v="1995-09-19T00:00:00"/>
    <s v="Nederlandse"/>
    <s v="M"/>
    <s v="Ravelijn 19"/>
    <s v="4844 BS TERHEIJDEN"/>
    <s v="Nederland"/>
    <s v="stijn19s@live.nl"/>
    <n v="-614410093"/>
    <n v="2013"/>
    <x v="1"/>
    <m/>
  </r>
  <r>
    <x v="1"/>
    <n v="4291530"/>
    <s v="mbos4"/>
    <s v="Bos"/>
    <s v="M. Bos"/>
    <s v="Mathijs"/>
    <x v="37"/>
    <s v="Cardanas"/>
    <s v="Danny Hameeteman"/>
    <d v="1995-05-04T00:00:00"/>
    <s v="Nederlandse"/>
    <s v="M"/>
    <s v="Meerdijk 27"/>
    <s v="5144 NL WAALWIJK"/>
    <s v="Nederland"/>
    <s v="mathijs.bos@live.nl"/>
    <n v="-643694883"/>
    <n v="2013"/>
    <x v="1"/>
    <m/>
  </r>
  <r>
    <x v="1"/>
    <n v="4305582"/>
    <s v="hhalilovic"/>
    <s v="Halilovic"/>
    <s v="H. Halilovic"/>
    <s v="Haris"/>
    <x v="37"/>
    <s v="Cardanas"/>
    <s v="Danny Hameeteman"/>
    <d v="1994-10-19T00:00:00"/>
    <s v="Nederlandse"/>
    <s v="M"/>
    <s v="Erasmusstraat 79"/>
    <s v="3035 LD ROTTERDAM"/>
    <s v="Nederland"/>
    <s v="haris_19_94@hotmail.com"/>
    <n v="-639423337"/>
    <n v="2013"/>
    <x v="1"/>
    <m/>
  </r>
  <r>
    <x v="1"/>
    <n v="4270703"/>
    <s v="nvanhattum"/>
    <s v="Hattum"/>
    <s v="N.A.M. van Hattum"/>
    <s v="Nienke"/>
    <x v="37"/>
    <s v="Cardanas"/>
    <s v="Danny Hameeteman"/>
    <d v="1994-12-09T00:00:00"/>
    <s v="Nederlandse"/>
    <s v="V"/>
    <s v="Populierenlaan 6"/>
    <s v="2181 KC HILLEGOM"/>
    <s v="Nederland"/>
    <s v="nienke.hattum@gmail.com"/>
    <n v="-641787935"/>
    <n v="2013"/>
    <x v="1"/>
    <m/>
  </r>
  <r>
    <x v="1"/>
    <n v="4230043"/>
    <s v="rjmhendriks"/>
    <s v="Hendriks"/>
    <s v="R.J.M. Hendriks"/>
    <s v="Roy"/>
    <x v="37"/>
    <s v="Cardanas"/>
    <s v="Danny Hameeteman"/>
    <d v="1994-02-16T00:00:00"/>
    <s v="Nederlandse"/>
    <s v="M"/>
    <s v="Didamseweg 76"/>
    <s v="6901 JT ZEVENAAR"/>
    <s v="Nederland"/>
    <s v="roy7646@gmail.com"/>
    <n v="-683593080"/>
    <n v="2013"/>
    <x v="1"/>
    <m/>
  </r>
  <r>
    <x v="1"/>
    <n v="4301862"/>
    <s v="bniele"/>
    <s v="Niele"/>
    <s v="B. Niele"/>
    <s v="Bram"/>
    <x v="37"/>
    <s v="Cardanas"/>
    <s v="Danny Hameeteman"/>
    <d v="1994-12-15T00:00:00"/>
    <s v="Nederlandse"/>
    <s v="M"/>
    <s v="Romerkerkweg 91"/>
    <s v="1943 EX BEVERWIJK"/>
    <s v="Nederland"/>
    <s v="bramniele@live.nl"/>
    <m/>
    <n v="2013"/>
    <x v="1"/>
    <m/>
  </r>
  <r>
    <x v="1"/>
    <n v="4284720"/>
    <s v="coprinsen"/>
    <s v="Oprinsen"/>
    <s v="C.P.L. Oprinsen"/>
    <s v="Carl"/>
    <x v="37"/>
    <s v="Cardanas"/>
    <s v="Danny Hameeteman"/>
    <d v="1995-02-18T00:00:00"/>
    <s v="Nederlandse"/>
    <s v="M"/>
    <s v="F Oprinsen-XCC, PDO, PO Box 81"/>
    <s v="100 Muscat"/>
    <s v="Oman"/>
    <s v="frankoprinsen@me.com"/>
    <n v="-99881000"/>
    <n v="2013"/>
    <x v="1"/>
    <m/>
  </r>
  <r>
    <x v="1"/>
    <n v="4313976"/>
    <s v="eteunissen"/>
    <s v="Teunissen"/>
    <s v="É.M. Teunissen"/>
    <s v="Étienne"/>
    <x v="37"/>
    <s v="Cardanas"/>
    <s v="Danny Hameeteman"/>
    <d v="1993-11-19T00:00:00"/>
    <s v="Nederlandse"/>
    <s v="M"/>
    <s v="Gouddonk 20"/>
    <s v="4824 DG BREDA"/>
    <s v="Nederland"/>
    <s v="etienneteunissen@hotmail.com"/>
    <n v="-652312939"/>
    <n v="2013"/>
    <x v="1"/>
    <m/>
  </r>
  <r>
    <x v="1"/>
    <n v="4305205"/>
    <s v="mrkaraujo"/>
    <s v="Araujo"/>
    <s v="M.R.K. Araujo"/>
    <s v="Matias"/>
    <x v="38"/>
    <s v="Transmissie"/>
    <s v="Sebastiaan Hekner"/>
    <d v="1996-09-03T00:00:00"/>
    <s v="Nederlandse"/>
    <s v="M"/>
    <s v="Sartrezijde 50"/>
    <s v="2725 PR ZOETERMEER"/>
    <s v="Nederland"/>
    <s v="matiasaraujonl@gmail.com"/>
    <n v="-619663319"/>
    <n v="2013"/>
    <x v="1"/>
    <m/>
  </r>
  <r>
    <x v="1"/>
    <n v="4294211"/>
    <s v="amaurydebock"/>
    <s v="Bock"/>
    <s v="A.S.D. de Bock"/>
    <s v="Amaury"/>
    <x v="38"/>
    <s v="Transmissie"/>
    <s v="Sebastiaan Hekner"/>
    <d v="1995-08-03T00:00:00"/>
    <s v="Belgische"/>
    <s v="M"/>
    <m/>
    <m/>
    <m/>
    <s v="amaury.debock@gmail.com"/>
    <m/>
    <n v="2013"/>
    <x v="1"/>
    <m/>
  </r>
  <r>
    <x v="1"/>
    <n v="4296044"/>
    <s v="lvandenboogaar"/>
    <s v="Boogaart"/>
    <s v="L.M. van den Boogaart"/>
    <s v="Luc"/>
    <x v="38"/>
    <s v="Transmissie"/>
    <s v="Sebastiaan Hekner"/>
    <d v="1995-09-17T00:00:00"/>
    <s v="Nederlandse"/>
    <s v="M"/>
    <s v="Snipweg 16"/>
    <s v="5451 VP MILL"/>
    <s v="Nederland"/>
    <s v="lucvdboogaart@gmail.com"/>
    <n v="-619157695"/>
    <n v="2013"/>
    <x v="1"/>
    <m/>
  </r>
  <r>
    <x v="1"/>
    <n v="4275586"/>
    <s v="abraemer"/>
    <s v="Braemer"/>
    <s v="A. Braemer"/>
    <s v="Arjan"/>
    <x v="38"/>
    <s v="Transmissie"/>
    <s v="Sebastiaan Hekner"/>
    <d v="1995-01-21T00:00:00"/>
    <s v="Nederlandse"/>
    <s v="M"/>
    <s v="Schothorstlaan 10"/>
    <s v="3207 ZD SPIJKENISSE"/>
    <s v="Nederland"/>
    <s v="arjan.__@hotmail.com"/>
    <n v="-639482428"/>
    <n v="2013"/>
    <x v="1"/>
    <m/>
  </r>
  <r>
    <x v="1"/>
    <n v="4281616"/>
    <s v="cfritz"/>
    <s v="Fritz"/>
    <s v="A.J.F.D. Fritz"/>
    <s v="Casper"/>
    <x v="38"/>
    <s v="Transmissie"/>
    <s v="Sebastiaan Hekner"/>
    <d v="1994-10-29T00:00:00"/>
    <s v="Nederlandse"/>
    <s v="M"/>
    <s v="Spaansezoom 37"/>
    <s v="2912 GD NIEUWERKERK AD IJSSEL"/>
    <s v="Nederland"/>
    <s v="casper.fritz@tiscali.nl"/>
    <n v="-626743256"/>
    <n v="2013"/>
    <x v="1"/>
    <m/>
  </r>
  <r>
    <x v="1"/>
    <n v="4289684"/>
    <s v="ankeijser"/>
    <s v="Keijser"/>
    <s v="A.N. Keijser"/>
    <s v="Amos"/>
    <x v="38"/>
    <s v="Transmissie"/>
    <s v="Sebastiaan Hekner"/>
    <d v="1994-09-29T00:00:00"/>
    <s v="Nederlandse"/>
    <s v="M"/>
    <s v="Pomonalaan 46"/>
    <s v="2564 XX 'S-GRAVENHAGE"/>
    <s v="Nederland"/>
    <s v="amos.keijser@hotmail.com"/>
    <n v="-646462633"/>
    <n v="2013"/>
    <x v="1"/>
    <m/>
  </r>
  <r>
    <x v="1"/>
    <n v="4327926"/>
    <s v="rickoskam"/>
    <s v="Oskam"/>
    <s v="R. Oskam"/>
    <s v="Rick"/>
    <x v="38"/>
    <s v="Transmissie"/>
    <s v="Sebastiaan Hekner"/>
    <d v="1995-10-23T00:00:00"/>
    <s v="Nederlandse"/>
    <s v="M"/>
    <s v="Bertha von Suttnerstraat 13"/>
    <s v="2131 VW HOOFDDORP"/>
    <s v="Nederland"/>
    <s v="rickoskamster@gmail.com"/>
    <m/>
    <n v="2013"/>
    <x v="1"/>
    <m/>
  </r>
  <r>
    <x v="1"/>
    <n v="4328140"/>
    <s v="lsteverink"/>
    <s v="Steverink"/>
    <s v="L.C. Steverink"/>
    <s v="Lars"/>
    <x v="38"/>
    <s v="Transmissie"/>
    <s v="Sebastiaan Hekner"/>
    <d v="1995-09-04T00:00:00"/>
    <s v="Nederlandse"/>
    <s v="M"/>
    <s v="Groen van Prinstererlaan 33"/>
    <s v="1272 GB HUIZEN"/>
    <s v="Nederland"/>
    <s v="larst107@hotmail.com"/>
    <n v="-612164889"/>
    <n v="2013"/>
    <x v="1"/>
    <m/>
  </r>
  <r>
    <x v="1"/>
    <n v="4291123"/>
    <s v="bbatist"/>
    <s v="Batist"/>
    <s v="B. Batist"/>
    <s v="Ben"/>
    <x v="39"/>
    <s v="Transmissie"/>
    <s v="Sebastiaan Hekner"/>
    <d v="1995-08-26T00:00:00"/>
    <s v="Nederlandse"/>
    <s v="M"/>
    <s v="Albrandswaardseweg 60"/>
    <s v="3171 AC POORTUGAAL"/>
    <s v="Nederland"/>
    <s v="benbatist@hotmail.com"/>
    <n v="-617363613"/>
    <n v="2013"/>
    <x v="1"/>
    <m/>
  </r>
  <r>
    <x v="1"/>
    <n v="4270517"/>
    <s v="samelschot"/>
    <s v="Elschot"/>
    <s v="S.A.M. Elschot"/>
    <s v="Sanne"/>
    <x v="39"/>
    <s v="Transmissie"/>
    <s v="Sebastiaan Hekner"/>
    <d v="1995-06-26T00:00:00"/>
    <s v="Nederlandse"/>
    <s v="V"/>
    <s v="Patronaatsstraat 40"/>
    <s v="7131 CH LICHTENVOORDE"/>
    <s v="Nederland"/>
    <s v="sanne_26@msn.com"/>
    <n v="-657163506"/>
    <n v="2013"/>
    <x v="1"/>
    <m/>
  </r>
  <r>
    <x v="1"/>
    <n v="4291107"/>
    <s v="lhofhuis"/>
    <s v="Hofhuis"/>
    <s v="L.A.M. Hofhuis"/>
    <s v="Luuk"/>
    <x v="39"/>
    <s v="Transmissie"/>
    <s v="Sebastiaan Hekner"/>
    <d v="1994-08-29T00:00:00"/>
    <s v="Nederlandse"/>
    <s v="M"/>
    <s v="Kapsweg 44"/>
    <s v="7651 KN TUBBERGEN"/>
    <s v="Nederland"/>
    <s v="luukhofhuis@gmail.com"/>
    <n v="-683699656"/>
    <n v="2013"/>
    <x v="1"/>
    <m/>
  </r>
  <r>
    <x v="1"/>
    <n v="4296346"/>
    <s v="hvanderlende"/>
    <s v="Lende"/>
    <s v="H.J.H. van der Lende"/>
    <s v="Hidde"/>
    <x v="39"/>
    <s v="Transmissie"/>
    <s v="Sebastiaan Hekner"/>
    <d v="1995-08-11T00:00:00"/>
    <s v="Nederlandse"/>
    <s v="M"/>
    <s v="Herenstraat 12"/>
    <s v="4331 JT MIDDELBURG"/>
    <s v="Nederland"/>
    <s v="hidpid@hotmail.com"/>
    <n v="-625093973"/>
    <n v="2013"/>
    <x v="1"/>
    <m/>
  </r>
  <r>
    <x v="1"/>
    <n v="4317815"/>
    <s v="lmeeuwisse"/>
    <s v="Meeuwisse"/>
    <s v="L. Meeuwisse"/>
    <s v="Lars"/>
    <x v="39"/>
    <s v="Transmissie"/>
    <s v="Sebastiaan Hekner"/>
    <d v="1994-05-21T00:00:00"/>
    <s v="Nederlandse"/>
    <s v="M"/>
    <s v="Kajak 20"/>
    <s v="3904 ZW VEENENDAAL"/>
    <s v="Nederland"/>
    <s v="larsmwss@gmail.com"/>
    <n v="-652112146"/>
    <n v="2013"/>
    <x v="1"/>
    <m/>
  </r>
  <r>
    <x v="1"/>
    <n v="4302214"/>
    <s v="jdverhagen"/>
    <s v="Verhagen"/>
    <s v="J.D. Verhagen"/>
    <s v="Jeroen"/>
    <x v="39"/>
    <s v="Transmissie"/>
    <s v="Sebastiaan Hekner"/>
    <d v="1994-10-18T00:00:00"/>
    <s v="Nederlandse"/>
    <s v="M"/>
    <s v="Eleonoraweg 19"/>
    <s v="6523 MX NIJMEGEN"/>
    <s v="Nederland"/>
    <s v="j.d.verhagen@gmail.com"/>
    <n v="-657994514"/>
    <n v="2013"/>
    <x v="1"/>
    <m/>
  </r>
  <r>
    <x v="1"/>
    <n v="4288483"/>
    <s v="jvermeeren"/>
    <s v="Vermeeren"/>
    <s v="J.A.J. Vermeeren"/>
    <s v="Jimmy"/>
    <x v="39"/>
    <s v="Transmissie"/>
    <s v="Sebastiaan Hekner"/>
    <d v="1995-01-17T00:00:00"/>
    <s v="Nederlandse"/>
    <s v="M"/>
    <s v="Zeggeveen 4"/>
    <s v="4823 HM BREDA"/>
    <s v="Nederland"/>
    <s v="jimmy-neutron-95@hotmail.com"/>
    <n v="-613092680"/>
    <n v="2013"/>
    <x v="1"/>
    <m/>
  </r>
  <r>
    <x v="1"/>
    <n v="4282434"/>
    <s v="robvanvliet"/>
    <s v="Vliet"/>
    <s v="R.A. van Vliet"/>
    <s v="Rob"/>
    <x v="39"/>
    <s v="Transmissie"/>
    <s v="Sebastiaan Hekner"/>
    <d v="1994-02-14T00:00:00"/>
    <s v="Nederlandse"/>
    <s v="M"/>
    <s v="Dorp 169"/>
    <s v="3405 BC BENSCHOP"/>
    <s v="Nederland"/>
    <s v="rob_van_vl@hotmail.com"/>
    <n v="-652120233"/>
    <n v="2013"/>
    <x v="1"/>
    <m/>
  </r>
  <r>
    <x v="1"/>
    <n v="4207564"/>
    <s v="jboortman"/>
    <s v="Boortman"/>
    <s v="J. Boortman"/>
    <s v="Jeroen"/>
    <x v="40"/>
    <s v="Transmissie"/>
    <s v="Olga Verburg"/>
    <d v="1993-11-02T00:00:00"/>
    <s v="Nederlandse"/>
    <s v="M"/>
    <m/>
    <m/>
    <m/>
    <m/>
    <n v="624974232"/>
    <n v="2013"/>
    <x v="1"/>
    <s v="voor 2e semester 2012 gestopt"/>
  </r>
  <r>
    <x v="1"/>
    <n v="4205391"/>
    <s v="dbrison"/>
    <s v="Brison"/>
    <s v="D.L. Brison"/>
    <s v="Daron"/>
    <x v="40"/>
    <s v="Transmissie"/>
    <s v="Olga Verburg"/>
    <d v="1993-10-07T00:00:00"/>
    <s v="Nederlandse"/>
    <s v="M"/>
    <s v="Waldorpstraat 45 178"/>
    <s v="2521 CA 'S-GRAVENHAGE"/>
    <s v="Nederland"/>
    <s v="brisondl@gmail.com"/>
    <n v="-642041472"/>
    <n v="2012"/>
    <x v="0"/>
    <m/>
  </r>
  <r>
    <x v="1"/>
    <n v="4292286"/>
    <s v="pmvanderburg"/>
    <s v="Burg"/>
    <s v="P.M. van der Burg"/>
    <s v="Thijs"/>
    <x v="40"/>
    <s v="Transmissie"/>
    <s v="Olga Verburg"/>
    <d v="1995-08-01T00:00:00"/>
    <s v="Nederlandse"/>
    <s v="M"/>
    <s v="Peruplantsoen 5"/>
    <s v="5152 ML DRUNEN"/>
    <s v="Nederland"/>
    <s v="thijsvanderburg@hotmail.com"/>
    <n v="-643694884"/>
    <n v="2013"/>
    <x v="1"/>
    <m/>
  </r>
  <r>
    <x v="1"/>
    <n v="4318536"/>
    <s v="whenkelman"/>
    <s v="Henkelman"/>
    <s v="W.J.G. Henkelman"/>
    <s v="Willem Henkelma"/>
    <x v="40"/>
    <s v="Transmissie"/>
    <s v="Olga Verburg"/>
    <d v="1994-03-10T00:00:00"/>
    <s v="Nederlandse"/>
    <s v="M"/>
    <s v="Blijdensteinlaan 8"/>
    <s v="1217 PE HILVERSUM"/>
    <s v="Nederland"/>
    <s v="willem.henkelman@gmail.com"/>
    <n v="-648233914"/>
    <n v="2013"/>
    <x v="1"/>
    <m/>
  </r>
  <r>
    <x v="1"/>
    <n v="4297172"/>
    <s v="fhooft"/>
    <s v="Hooft"/>
    <s v="F.M. Hooft"/>
    <s v="Floris"/>
    <x v="40"/>
    <s v="Transmissie"/>
    <s v="Olga Verburg"/>
    <d v="1995-05-21T00:00:00"/>
    <s v="Nederlandse"/>
    <s v="M"/>
    <s v="Lage Kanaaldijk 8 A"/>
    <s v="6212 AE MAASTRICHT"/>
    <s v="Nederland"/>
    <s v="floris.hooft@xs4all.nl"/>
    <m/>
    <n v="2013"/>
    <x v="1"/>
    <m/>
  </r>
  <r>
    <x v="1"/>
    <n v="4309502"/>
    <s v="ahusic"/>
    <s v="Husic"/>
    <s v="A. Husic"/>
    <s v="Ajdin"/>
    <x v="40"/>
    <s v="Transmissie"/>
    <s v="Olga Verburg"/>
    <d v="1995-06-24T00:00:00"/>
    <s v="Nederlandse"/>
    <s v="M"/>
    <s v="Eksterlaan 594"/>
    <s v="3136 SP VLAARDINGEN"/>
    <s v="Nederland"/>
    <s v="ajdin@live.nl"/>
    <m/>
    <n v="2013"/>
    <x v="1"/>
    <m/>
  </r>
  <r>
    <x v="1"/>
    <n v="4296125"/>
    <s v="mmersie"/>
    <s v="Mersie"/>
    <s v="M.L.J. Mersie"/>
    <s v="Michaël"/>
    <x v="40"/>
    <s v="Transmissie"/>
    <s v="Olga Verburg"/>
    <d v="1995-10-12T00:00:00"/>
    <s v="Nederlandse"/>
    <s v="M"/>
    <s v="Seisbolwerk 10"/>
    <s v="4331 RD MIDDELBURG"/>
    <s v="Nederland"/>
    <s v="mljmersie@gmail.com"/>
    <n v="-621173351"/>
    <n v="2013"/>
    <x v="1"/>
    <m/>
  </r>
  <r>
    <x v="1"/>
    <n v="4299272"/>
    <s v="jverzendaal"/>
    <s v="Verzendaal"/>
    <s v="J.M. Verzendaal"/>
    <s v="Jan Maarten"/>
    <x v="40"/>
    <s v="Transmissie"/>
    <s v="Olga Verburg"/>
    <d v="1995-08-25T00:00:00"/>
    <s v="Nederlandse"/>
    <s v="M"/>
    <s v="Paulus Pottersingel 37"/>
    <s v="3262 VH OUD-BEIJERLAND"/>
    <s v="Nederland"/>
    <s v="jmverzendaal@gmail.com"/>
    <n v="-683088973"/>
    <n v="2013"/>
    <x v="1"/>
    <m/>
  </r>
  <r>
    <x v="1"/>
    <n v="4229452"/>
    <s v="phuongvovo"/>
    <s v="Vo"/>
    <s v="P. Vo"/>
    <s v="Phuong Vo"/>
    <x v="40"/>
    <s v="Transmissie"/>
    <s v="Olga Verburg"/>
    <d v="1993-10-13T00:00:00"/>
    <s v="Nederlandse"/>
    <s v="M"/>
    <s v="Hoofdstraat 36"/>
    <s v="5171 DD KAATSHEUVEL"/>
    <s v="Nederland"/>
    <s v="phuong2012@hotmail.com"/>
    <n v="-616917334"/>
    <n v="2013"/>
    <x v="1"/>
    <m/>
  </r>
  <r>
    <x v="1"/>
    <n v="4320670"/>
    <s v="jhelmonds"/>
    <s v="Helmonds"/>
    <s v="J.T. Helmonds"/>
    <s v="Joep"/>
    <x v="41"/>
    <s v="Transmissie"/>
    <s v="Olga Verburg"/>
    <d v="1995-02-07T00:00:00"/>
    <s v="Nederlandse"/>
    <s v="M"/>
    <s v="Zandberglaan 18"/>
    <s v="4818 GK BREDA"/>
    <s v="Nederland"/>
    <s v="joep@helmonds.nl"/>
    <n v="-636201631"/>
    <n v="2013"/>
    <x v="1"/>
    <m/>
  </r>
  <r>
    <x v="1"/>
    <n v="4300211"/>
    <s v="jidema"/>
    <s v="Idema"/>
    <s v="J. Idema"/>
    <s v="Jens"/>
    <x v="41"/>
    <s v="Transmissie"/>
    <s v="Olga Verburg"/>
    <d v="1994-11-06T00:00:00"/>
    <s v="Nederlandse"/>
    <s v="M"/>
    <s v="Blankertlaan 2"/>
    <s v="1911 SK UITGEEST"/>
    <s v="Nederland"/>
    <s v="idema.jens@gmail.com"/>
    <n v="-634481550"/>
    <n v="2013"/>
    <x v="1"/>
    <m/>
  </r>
  <r>
    <x v="1"/>
    <n v="4310144"/>
    <s v="mizarin"/>
    <s v="Izarin"/>
    <s v="M.D. Izarin"/>
    <s v="Milan"/>
    <x v="41"/>
    <s v="Transmissie"/>
    <s v="Olga Verburg"/>
    <d v="1996-02-28T00:00:00"/>
    <s v="Nederlandse"/>
    <s v="M"/>
    <s v="Hoofdstraat 49"/>
    <s v="3971 KB DRIEBERGEN-RIJSENBURG"/>
    <s v="Nederland"/>
    <s v="milan.izarin@hotmail.com"/>
    <n v="-646488416"/>
    <n v="2013"/>
    <x v="1"/>
    <m/>
  </r>
  <r>
    <x v="1"/>
    <n v="4244737"/>
    <s v="bknottnerus"/>
    <s v="Knottnerus"/>
    <s v="B.R. Knottnerus"/>
    <s v="Bauke"/>
    <x v="41"/>
    <s v="Transmissie"/>
    <s v="Olga Verburg"/>
    <d v="1993-02-26T00:00:00"/>
    <s v="Nederlandse"/>
    <s v="M"/>
    <s v="Zomerland 2"/>
    <s v="4761 TC ZEVENBERGEN"/>
    <s v="Nederland"/>
    <s v="arnoldknottnerus@hotmail.com"/>
    <m/>
    <n v="2012"/>
    <x v="8"/>
    <m/>
  </r>
  <r>
    <x v="1"/>
    <n v="4205677"/>
    <s v="jclmaliepaard"/>
    <s v="Maliepaard"/>
    <s v="J.C.L. Maliepaard"/>
    <s v="Joshua"/>
    <x v="41"/>
    <s v="Transmissie"/>
    <s v="Olga Verburg"/>
    <d v="1994-07-07T00:00:00"/>
    <s v="Nederlandse"/>
    <s v="M"/>
    <s v="Oudelandsedijk 79"/>
    <s v="3241 LL MIDDELHARNIS"/>
    <s v="Nederland"/>
    <s v="joshuamaliepaard@hotmail.com"/>
    <m/>
    <n v="2012"/>
    <x v="2"/>
    <m/>
  </r>
  <r>
    <x v="1"/>
    <n v="4300564"/>
    <s v="mpesselse"/>
    <s v="Pesselse"/>
    <s v="M. Pesselse"/>
    <s v="Mike"/>
    <x v="41"/>
    <s v="Transmissie"/>
    <s v="Olga Verburg"/>
    <d v="1995-01-20T00:00:00"/>
    <s v="Nederlandse"/>
    <s v="M"/>
    <s v="Kwartslaan 131"/>
    <s v="3162 RD RHOON"/>
    <s v="Nederland"/>
    <s v="mike.pesselse@hotmail.com"/>
    <n v="-614534769"/>
    <n v="2013"/>
    <x v="1"/>
    <m/>
  </r>
  <r>
    <x v="1"/>
    <n v="4313542"/>
    <s v="vstoeten"/>
    <s v="Stoeten"/>
    <s v="V.E. Stoeten"/>
    <s v="Victor"/>
    <x v="41"/>
    <s v="Transmissie"/>
    <s v="Olga Verburg"/>
    <d v="1994-10-22T00:00:00"/>
    <s v="Nederlandse"/>
    <s v="M"/>
    <s v="King Oliverlaan 2"/>
    <s v="5629 RL EINDHOVEN"/>
    <s v="Nederland"/>
    <s v="victor@stoeten.eu"/>
    <n v="-635015598"/>
    <n v="2013"/>
    <x v="1"/>
    <m/>
  </r>
  <r>
    <x v="1"/>
    <n v="4283449"/>
    <s v="gjtimmers"/>
    <s v="Timmers"/>
    <s v="G.J. Timmers"/>
    <s v="Nathan"/>
    <x v="41"/>
    <s v="Transmissie"/>
    <s v="Olga Verburg"/>
    <d v="1994-11-21T00:00:00"/>
    <s v="Nederlandse"/>
    <s v="M"/>
    <s v="Rietgors 8"/>
    <s v="2953 GA ALBLASSERDAM"/>
    <s v="Nederland"/>
    <s v="nathan.t@filternet.nl"/>
    <n v="-650992127"/>
    <n v="2013"/>
    <x v="1"/>
    <m/>
  </r>
  <r>
    <x v="1"/>
    <n v="4155866"/>
    <s v="nburbach"/>
    <s v="Burbach"/>
    <s v="N. Burbach"/>
    <s v="Niels"/>
    <x v="42"/>
    <s v="Transmissie"/>
    <s v="Remy Kabel"/>
    <d v="1992-11-12T00:00:00"/>
    <s v="Nederlandse"/>
    <s v="M"/>
    <m/>
    <m/>
    <s v="Nederland"/>
    <s v="niels_burbach@hotmail.com"/>
    <n v="-613167160"/>
    <n v="2013"/>
    <x v="1"/>
    <s v="voor 2e semester 2012 gestopt"/>
  </r>
  <r>
    <x v="1"/>
    <n v="4302478"/>
    <s v="bhajee"/>
    <s v="Hajee"/>
    <s v="B. Hajee"/>
    <s v="Bram"/>
    <x v="42"/>
    <s v="Transmissie"/>
    <s v="Remy Kabel"/>
    <d v="1995-01-09T00:00:00"/>
    <s v="Nederlandse"/>
    <s v="M"/>
    <s v="Van Rijckevorselhaven 5"/>
    <s v="2993 HK BARENDRECHT"/>
    <s v="Nederland"/>
    <s v="bramhj@hotmail.com"/>
    <n v="-643572743"/>
    <n v="2013"/>
    <x v="1"/>
    <m/>
  </r>
  <r>
    <x v="1"/>
    <n v="4301595"/>
    <s v="pkeesmaat"/>
    <s v="Keesmaat"/>
    <s v="P. Keesmaat"/>
    <s v="Patrick"/>
    <x v="42"/>
    <s v="Transmissie"/>
    <s v="Remy Kabel"/>
    <d v="1995-02-08T00:00:00"/>
    <s v="Nederlandse"/>
    <s v="M"/>
    <s v="Besten van Brienenstr 8"/>
    <s v="2636 HP SCHIPLUIDEN"/>
    <s v="Nederland"/>
    <s v="patrick@keesmaat.nl"/>
    <m/>
    <n v="2013"/>
    <x v="1"/>
    <m/>
  </r>
  <r>
    <x v="1"/>
    <n v="4224620"/>
    <s v="dleffelaar"/>
    <s v="Leffelaar"/>
    <s v="D.C. Leffelaar"/>
    <s v="Daniël"/>
    <x v="42"/>
    <s v="Transmissie"/>
    <s v="Remy Kabel"/>
    <d v="1993-08-30T00:00:00"/>
    <s v="Nederlandse"/>
    <s v="M"/>
    <s v="Floris van Boekhorststr 1"/>
    <s v="3633 CN VREELAND"/>
    <s v="Nederland"/>
    <s v="daniel.leffelaar@hotmail.com"/>
    <n v="-634470543"/>
    <n v="2012"/>
    <x v="0"/>
    <m/>
  </r>
  <r>
    <x v="1"/>
    <n v="4271491"/>
    <s v="doudmaijer"/>
    <s v="Oudmaijer"/>
    <s v="D.J. Oudmaijer"/>
    <s v="Dennis"/>
    <x v="42"/>
    <s v="Transmissie"/>
    <s v="Remy Kabel"/>
    <d v="1995-02-10T00:00:00"/>
    <s v="Nederlandse"/>
    <s v="M"/>
    <s v="Tubasingel 22"/>
    <s v="2287 CM RIJSWIJK ZH"/>
    <s v="Nederland"/>
    <s v="djdennis95@hotmail.com"/>
    <n v="-642876052"/>
    <n v="2013"/>
    <x v="1"/>
    <m/>
  </r>
  <r>
    <x v="1"/>
    <n v="4276647"/>
    <s v="mjstolk"/>
    <s v="Stolk"/>
    <s v="M.J. Stolk"/>
    <s v="Maarten"/>
    <x v="42"/>
    <s v="Transmissie"/>
    <s v="Remy Kabel"/>
    <d v="1994-01-12T00:00:00"/>
    <s v="Nederlandse"/>
    <s v="M"/>
    <s v="Ohmstraat 7 hs"/>
    <s v="1098 ST AMSTERDAM"/>
    <s v="Nederland"/>
    <s v="maarten.j.stolk@gmail.com"/>
    <n v="-637225326"/>
    <n v="2013"/>
    <x v="1"/>
    <m/>
  </r>
  <r>
    <x v="1"/>
    <n v="4326539"/>
    <s v="mtheulings"/>
    <s v="Theulings"/>
    <s v="M.J.B. Theulings"/>
    <s v="Maarten"/>
    <x v="42"/>
    <s v="Transmissie"/>
    <s v="Remy Kabel"/>
    <d v="1995-05-14T00:00:00"/>
    <s v="Nederlandse"/>
    <s v="M"/>
    <s v="Christiaan de Wetstraat 14"/>
    <s v="2806 VC GOUDA"/>
    <s v="Nederland"/>
    <s v="maarten.theulings@hotmail.com"/>
    <m/>
    <n v="2013"/>
    <x v="1"/>
    <m/>
  </r>
  <r>
    <x v="1"/>
    <n v="4304128"/>
    <s v="lwouterse"/>
    <s v="Wouterse"/>
    <s v="L. Wouterse"/>
    <s v="Lars"/>
    <x v="42"/>
    <s v="Transmissie"/>
    <s v="Remy Kabel"/>
    <d v="1995-02-18T00:00:00"/>
    <s v="Nederlandse"/>
    <s v="M"/>
    <s v="Smaragd 12"/>
    <s v="3641 XL MIJDRECHT"/>
    <s v="Nederland"/>
    <s v="lars_wouterse@hotmail.com"/>
    <n v="-619489167"/>
    <n v="2013"/>
    <x v="1"/>
    <m/>
  </r>
  <r>
    <x v="1"/>
    <n v="4291476"/>
    <s v="lboogaart"/>
    <s v="Boogaart"/>
    <s v="L.H. Boogaart"/>
    <s v="Lukas"/>
    <x v="43"/>
    <s v="Transmissie"/>
    <s v="Remy Kabel"/>
    <d v="1994-08-09T00:00:00"/>
    <s v="Nederlandse"/>
    <s v="M"/>
    <s v="Badhuiskade 9"/>
    <s v="2586 EM 'S-GRAVENHAGE"/>
    <s v="Nederland"/>
    <s v="hrboogaart@xs4all.nl"/>
    <n v="-634536622"/>
    <n v="2013"/>
    <x v="1"/>
    <m/>
  </r>
  <r>
    <x v="1"/>
    <n v="4287177"/>
    <s v="thesselmans"/>
    <s v="Hesselmans"/>
    <s v="T.M. Hesselmans"/>
    <s v="Tim"/>
    <x v="43"/>
    <s v="Transmissie"/>
    <s v="Remy Kabel"/>
    <d v="1995-11-07T00:00:00"/>
    <s v="Nederlandse"/>
    <s v="M"/>
    <s v="Stetweg 31"/>
    <s v="1901 JC CASTRICUM"/>
    <s v="Nederland"/>
    <s v="timhesselmans@hotmail.com"/>
    <n v="-618971284"/>
    <n v="2013"/>
    <x v="1"/>
    <m/>
  </r>
  <r>
    <x v="1"/>
    <n v="4289234"/>
    <s v="kmlkoudstaal"/>
    <s v="Koudstaal"/>
    <s v="K.M.L. Koudstaal"/>
    <s v="Kim"/>
    <x v="43"/>
    <s v="Transmissie"/>
    <s v="Remy Kabel"/>
    <d v="1995-04-19T00:00:00"/>
    <s v="Nederlandse"/>
    <s v="V"/>
    <s v="Concertweg 90"/>
    <s v="2992 NP BARENDRECHT"/>
    <s v="Nederland"/>
    <s v="pko@syntens.nl"/>
    <n v="-622196972"/>
    <n v="2013"/>
    <x v="1"/>
    <m/>
  </r>
  <r>
    <x v="1"/>
    <n v="4319117"/>
    <s v="bkruissink"/>
    <s v="Kruissink"/>
    <s v="B. Kruissink"/>
    <s v="Bas"/>
    <x v="43"/>
    <s v="Transmissie"/>
    <s v="Remy Kabel"/>
    <d v="1993-12-27T00:00:00"/>
    <s v="Nederlandse"/>
    <s v="M"/>
    <s v="Slotlaan 95"/>
    <s v="7006 HC DOETINCHEM"/>
    <s v="Nederland"/>
    <s v="bassieandriaan@hotmail.com"/>
    <n v="-623471006"/>
    <n v="2013"/>
    <x v="1"/>
    <m/>
  </r>
  <r>
    <x v="1"/>
    <n v="4309219"/>
    <s v="ederanitz"/>
    <s v="Ranitz"/>
    <s v="E.J. de Ranitz"/>
    <s v="Eric"/>
    <x v="43"/>
    <s v="Transmissie"/>
    <s v="Remy Kabel"/>
    <d v="1994-06-13T00:00:00"/>
    <s v="Nederlandse"/>
    <s v="M"/>
    <s v="Admiraalsborch 2"/>
    <s v="3992 CP HOUTEN"/>
    <s v="Nederland"/>
    <s v="ericjan1994@hotmail.com"/>
    <n v="-642685776"/>
    <n v="2013"/>
    <x v="1"/>
    <m/>
  </r>
  <r>
    <x v="1"/>
    <n v="4299299"/>
    <s v="tsteenkamp"/>
    <s v="Steenkamp"/>
    <s v="A.S.M. Steenkamp"/>
    <s v="Teun"/>
    <x v="43"/>
    <s v="Transmissie"/>
    <s v="Remy Kabel"/>
    <d v="1994-10-20T00:00:00"/>
    <s v="Nederlandse"/>
    <s v="M"/>
    <s v="Hoge Limiet 187"/>
    <s v="3053 KT ROTTERDAM"/>
    <s v="Nederland"/>
    <s v="asm.steenkamp@gmail.com"/>
    <n v="-636060813"/>
    <n v="2013"/>
    <x v="1"/>
    <m/>
  </r>
  <r>
    <x v="1"/>
    <n v="4272455"/>
    <s v="rsunder"/>
    <s v="Sunder"/>
    <s v="R.H.R. Sunder"/>
    <s v="Rolf"/>
    <x v="43"/>
    <s v="Transmissie"/>
    <s v="Remy Kabel"/>
    <d v="1995-07-06T00:00:00"/>
    <s v="Nederlandse"/>
    <s v="M"/>
    <s v="Gaagweg 28"/>
    <s v="2636 AJ SCHIPLUIDEN"/>
    <s v="Nederland"/>
    <s v="rolfsunder@live.nl"/>
    <n v="-622013207"/>
    <n v="2013"/>
    <x v="1"/>
    <m/>
  </r>
  <r>
    <x v="1"/>
    <n v="4220900"/>
    <s v="ttjeenkwillink"/>
    <s v="Tjeenk Willink"/>
    <s v="T.B. Tjeenk Willink"/>
    <s v="Tom"/>
    <x v="43"/>
    <s v="Transmissie"/>
    <s v="Remy Kabel"/>
    <d v="1994-08-23T00:00:00"/>
    <s v="Nederlandse"/>
    <s v="M"/>
    <s v="Berkenlaan 5"/>
    <s v="8162 NX EPE"/>
    <s v="Nederland"/>
    <s v="ttjeenk@gmail.com"/>
    <n v="-610788577"/>
    <n v="2012"/>
    <x v="10"/>
    <m/>
  </r>
  <r>
    <x v="1"/>
    <n v="4157877"/>
    <s v="aattalki"/>
    <s v="Attalki"/>
    <s v="A. Attalki"/>
    <s v="akil"/>
    <x v="44"/>
    <s v="Transmissie"/>
    <s v="Emal Kamal"/>
    <d v="1992-05-17T00:00:00"/>
    <s v="Nederlandse"/>
    <s v="M"/>
    <s v="Woelwijkstraat 62 a"/>
    <s v="3035 VV ROTTERDAM"/>
    <s v="Nederland"/>
    <s v="akil.attalki@hotmail.com"/>
    <n v="-625005927"/>
    <n v="2013"/>
    <x v="1"/>
    <m/>
  </r>
  <r>
    <x v="1"/>
    <n v="4318064"/>
    <s v="djjbbruggink"/>
    <s v="Bruggink"/>
    <s v="D.J.J.B. Bruggink"/>
    <s v="Daan"/>
    <x v="44"/>
    <s v="Transmissie"/>
    <s v="Emal Kamal"/>
    <d v="1995-07-14T00:00:00"/>
    <s v="Nederlandse"/>
    <s v="M"/>
    <s v="Co Bremanlaan 27"/>
    <s v="1251 HT LAREN NH"/>
    <s v="Nederland"/>
    <s v="daanbruggink95@hotmail.com"/>
    <n v="-657348601"/>
    <n v="2013"/>
    <x v="1"/>
    <m/>
  </r>
  <r>
    <x v="1"/>
    <n v="4328868"/>
    <s v="noorvandriel"/>
    <s v="Driel"/>
    <s v="N. van Driel"/>
    <s v="Noor"/>
    <x v="44"/>
    <s v="Transmissie"/>
    <s v="Emal Kamal"/>
    <d v="1995-05-07T00:00:00"/>
    <s v="Nederlandse"/>
    <s v="V"/>
    <s v="Bloklandpolderstraat 11"/>
    <s v="2807 LH GOUDA"/>
    <s v="Nederland"/>
    <s v="noot_1995@msn.com"/>
    <n v="-647919272"/>
    <n v="2013"/>
    <x v="1"/>
    <m/>
  </r>
  <r>
    <x v="1"/>
    <n v="4321006"/>
    <s v="cvandergeest"/>
    <s v="Geest"/>
    <s v="C.M. van der Geest"/>
    <s v="Casper"/>
    <x v="44"/>
    <s v="Transmissie"/>
    <s v="Emal Kamal"/>
    <d v="1995-04-04T00:00:00"/>
    <s v="Nederlandse"/>
    <s v="M"/>
    <s v="Leidseweg 391"/>
    <s v="2253 JD VOORSCHOTEN"/>
    <s v="Nederland"/>
    <s v="zeurg@hotmail.com"/>
    <n v="-642510526"/>
    <n v="2013"/>
    <x v="1"/>
    <m/>
  </r>
  <r>
    <x v="1"/>
    <n v="4307623"/>
    <s v="athhilhorst"/>
    <s v="Hilhorst"/>
    <s v="A.T.H. Hilhorst"/>
    <s v="Arnout"/>
    <x v="44"/>
    <s v="Transmissie"/>
    <s v="Emal Kamal"/>
    <d v="1994-08-24T00:00:00"/>
    <s v="Nederlandse"/>
    <s v="M"/>
    <s v="Sparrenlaan 44"/>
    <s v="3941 GM DOORN"/>
    <s v="Nederland"/>
    <s v="arnout@cata.nl"/>
    <n v="-639231790"/>
    <n v="2013"/>
    <x v="1"/>
    <m/>
  </r>
  <r>
    <x v="1"/>
    <n v="4321812"/>
    <s v="ypeterse"/>
    <s v="Peterse"/>
    <s v="Y. Peterse"/>
    <s v="Yildirim"/>
    <x v="44"/>
    <s v="Transmissie"/>
    <s v="Emal Kamal"/>
    <d v="1993-12-27T00:00:00"/>
    <s v="Nederlandse"/>
    <s v="M"/>
    <m/>
    <m/>
    <m/>
    <m/>
    <m/>
    <n v="2013"/>
    <x v="1"/>
    <m/>
  </r>
  <r>
    <x v="1"/>
    <n v="4227174"/>
    <s v="asoerdjbalie"/>
    <s v="Soerdjbalie"/>
    <s v="A.R. Soerdjbalie"/>
    <s v="Akash"/>
    <x v="44"/>
    <s v="Transmissie"/>
    <s v="Emal Kamal"/>
    <d v="1994-08-22T00:00:00"/>
    <s v="Nederlandse"/>
    <s v="M"/>
    <s v="Quitoplantsoen 22"/>
    <s v="2548 HL 'S-GRAVENHAGE"/>
    <s v="Nederland"/>
    <s v="akash_s@live.nl"/>
    <n v="-681522834"/>
    <n v="2012"/>
    <x v="10"/>
    <m/>
  </r>
  <r>
    <x v="1"/>
    <n v="4321049"/>
    <s v="rensstigter"/>
    <s v="Stigter"/>
    <s v="M. Stigter"/>
    <s v="Rens"/>
    <x v="44"/>
    <s v="Transmissie"/>
    <s v="Emal Kamal"/>
    <d v="1996-02-06T00:00:00"/>
    <s v="Nederlandse"/>
    <s v="M"/>
    <s v="Brugweg 90"/>
    <s v="2741 KZ WADDINXVEEN"/>
    <s v="Nederland"/>
    <s v="rensstigter@hotmail.com"/>
    <n v="-611672027"/>
    <n v="2013"/>
    <x v="1"/>
    <m/>
  </r>
  <r>
    <x v="1"/>
    <n v="4320204"/>
    <s v="yelyahyaoui"/>
    <s v="Yahyaoui"/>
    <s v="Y. El Yahyaoui"/>
    <s v="Yassin"/>
    <x v="44"/>
    <s v="Transmissie"/>
    <s v="Emal Kamal"/>
    <d v="1994-07-21T00:00:00"/>
    <s v="Nederlandse"/>
    <s v="M"/>
    <s v="De Morinel 374"/>
    <s v="8251 JH DRONTEN"/>
    <s v="Nederland"/>
    <s v="yassin001@live.nl"/>
    <m/>
    <n v="2013"/>
    <x v="1"/>
    <m/>
  </r>
  <r>
    <x v="1"/>
    <n v="4285247"/>
    <s v="jboetzkes"/>
    <s v="Boetzkes"/>
    <s v="J.A. Boetzkes"/>
    <s v="Jos"/>
    <x v="45"/>
    <s v="Transmissie"/>
    <s v="Emal Kamal"/>
    <d v="1995-07-05T00:00:00"/>
    <s v="Nederlandse"/>
    <s v="M"/>
    <s v="Bogerdlaan 2"/>
    <s v="1906 XS LIMMEN"/>
    <s v="Nederland"/>
    <s v="jantjedederde@gmail.com"/>
    <n v="-657077928"/>
    <n v="2013"/>
    <x v="1"/>
    <m/>
  </r>
  <r>
    <x v="1"/>
    <n v="4295897"/>
    <s v="jrijkeboer"/>
    <s v="Rijkeboer"/>
    <s v="J.H. Rijkeboer"/>
    <s v="Jordi"/>
    <x v="45"/>
    <s v="Transmissie"/>
    <s v="Emal Kamal"/>
    <d v="1994-03-19T00:00:00"/>
    <s v="Nederlandse"/>
    <s v="M"/>
    <s v="Oudeland 39"/>
    <s v="3335 VH ZWIJNDRECHT"/>
    <s v="Nederland"/>
    <s v="jordirijkeboer1994@gmail.com"/>
    <n v="-642403910"/>
    <n v="2013"/>
    <x v="1"/>
    <m/>
  </r>
  <r>
    <x v="1"/>
    <n v="4281063"/>
    <s v="arijnhart"/>
    <s v="Rijnhart"/>
    <s v="A.S. Rijnhart"/>
    <s v="Ande"/>
    <x v="45"/>
    <s v="Transmissie"/>
    <s v="Emal Kamal"/>
    <d v="1993-04-23T00:00:00"/>
    <s v="Nederlandse"/>
    <s v="V"/>
    <s v="Von Liebigweg 10"/>
    <s v="1097 RN AMSTERDAM"/>
    <s v="Nederland"/>
    <s v="anderijnhart@hotmail.com"/>
    <n v="-649916369"/>
    <n v="2013"/>
    <x v="1"/>
    <m/>
  </r>
  <r>
    <x v="1"/>
    <n v="4313062"/>
    <s v="mschuckman"/>
    <s v="Schuckman"/>
    <s v="M. Schuckman"/>
    <s v="Mark"/>
    <x v="45"/>
    <s v="Transmissie"/>
    <s v="Emal Kamal"/>
    <d v="1993-04-23T00:00:00"/>
    <s v="Nederlandse"/>
    <s v="M"/>
    <s v="Tulastraat 24"/>
    <s v="3573 XG UTRECHT"/>
    <s v="Nederland"/>
    <s v="mark@schuckman.net"/>
    <n v="-610528680"/>
    <n v="2013"/>
    <x v="1"/>
    <m/>
  </r>
  <r>
    <x v="1"/>
    <n v="4322029"/>
    <s v="mfverboon"/>
    <s v="Verboon"/>
    <s v="M.F. Verboon"/>
    <s v="Matthijs"/>
    <x v="45"/>
    <s v="Transmissie"/>
    <s v="Emal Kamal"/>
    <d v="1995-06-03T00:00:00"/>
    <s v="Nederlandse"/>
    <s v="M"/>
    <s v="Annie M.G. Schmidtweg 13"/>
    <s v="3446 ZJ WOERDEN"/>
    <s v="Nederland"/>
    <s v="mfverboon@gmail.com"/>
    <n v="-642204702"/>
    <n v="2013"/>
    <x v="1"/>
    <m/>
  </r>
  <r>
    <x v="1"/>
    <n v="4244931"/>
    <s v="mhverhoog"/>
    <s v="Verhoog"/>
    <s v="M.H. Verhoog"/>
    <s v="Max"/>
    <x v="45"/>
    <s v="Transmissie"/>
    <s v="Emal Kamal"/>
    <d v="1994-05-04T00:00:00"/>
    <s v="Nederlandse"/>
    <s v="M"/>
    <s v="Herdersweg 8"/>
    <s v="1272 AG HUIZEN"/>
    <s v="Nederland"/>
    <s v="maxverhoog@hotmail.com"/>
    <n v="-646246622"/>
    <n v="2012"/>
    <x v="14"/>
    <m/>
  </r>
  <r>
    <x v="1"/>
    <n v="4293940"/>
    <s v="fwesterhout"/>
    <s v="Westerhout"/>
    <s v="F.S.B. Westerhout"/>
    <s v="Frederik"/>
    <x v="45"/>
    <s v="Transmissie"/>
    <s v="Emal Kamal"/>
    <d v="1995-12-01T00:00:00"/>
    <s v="Nederlandse"/>
    <s v="M"/>
    <s v="Tafelbergweg 40"/>
    <s v="1251 AG LAREN NH"/>
    <s v="Nederland"/>
    <s v="frederikwesterhout@gmail.com"/>
    <n v="-621561574"/>
    <n v="2013"/>
    <x v="1"/>
    <m/>
  </r>
  <r>
    <x v="1"/>
    <n v="4298187"/>
    <s v="mjdezeeuw"/>
    <s v="Zeeuw"/>
    <s v="M.J. de Zeeuw"/>
    <s v="Maarten"/>
    <x v="45"/>
    <s v="Transmissie"/>
    <s v="Emal Kamal"/>
    <d v="1995-09-24T00:00:00"/>
    <s v="Nederlandse"/>
    <s v="M"/>
    <s v="Kerkstraat 85"/>
    <s v="2951 GG ALBLASSERDAM"/>
    <s v="Nederland"/>
    <s v="dezeeuw_maarten@hotmail.com"/>
    <n v="-612215118"/>
    <n v="2013"/>
    <x v="1"/>
    <m/>
  </r>
  <r>
    <x v="1"/>
    <n v="4308743"/>
    <s v="kbouwmans"/>
    <s v="Bouwmans"/>
    <s v="K.M. Bouwmans"/>
    <s v="Kas"/>
    <x v="46"/>
    <s v="Transmissie"/>
    <s v="Laurens Kinkelaar"/>
    <d v="1995-07-21T00:00:00"/>
    <s v="Nederlandse"/>
    <s v="M"/>
    <s v="Willem de Zwijgerlaan 7"/>
    <s v="2082 BA SANTPOORT-ZUID"/>
    <s v="Nederland"/>
    <s v="kas-bouwmans@live.nl"/>
    <n v="-613860200"/>
    <n v="2013"/>
    <x v="1"/>
    <m/>
  </r>
  <r>
    <x v="1"/>
    <n v="4294831"/>
    <s v="mdeken"/>
    <s v="Deken"/>
    <s v="M.T. Deken"/>
    <s v="Mitchel"/>
    <x v="46"/>
    <s v="Transmissie"/>
    <s v="Laurens Kinkelaar"/>
    <d v="1996-07-22T00:00:00"/>
    <s v="Nederlandse"/>
    <s v="M"/>
    <s v="Kooigroet 2"/>
    <s v="1722 KP ZUID-SCHARWOUDE"/>
    <s v="Nederland"/>
    <s v="mitcheldeken@live.nl"/>
    <n v="-634460473"/>
    <n v="2013"/>
    <x v="1"/>
    <m/>
  </r>
  <r>
    <x v="1"/>
    <n v="4287673"/>
    <s v="kfierkens"/>
    <s v="Fierkens"/>
    <s v="K.R.A. Fierkens"/>
    <s v="Kelvin"/>
    <x v="46"/>
    <s v="Transmissie"/>
    <s v="Laurens Kinkelaar"/>
    <d v="1994-07-31T00:00:00"/>
    <s v="Nederlandse"/>
    <s v="M"/>
    <s v="Constantiuslaan 32"/>
    <s v="6642 BS BEUNINGEN GLD"/>
    <s v="Nederland"/>
    <s v="kelvin@fierkens.com"/>
    <n v="-621146839"/>
    <n v="2013"/>
    <x v="1"/>
    <m/>
  </r>
  <r>
    <x v="1"/>
    <n v="4322924"/>
    <s v="amcmvangils"/>
    <s v="Gils"/>
    <s v="A.M.C.M. van Gils"/>
    <s v="Ruben"/>
    <x v="46"/>
    <s v="Transmissie"/>
    <s v="Laurens Kinkelaar"/>
    <d v="1994-12-10T00:00:00"/>
    <s v="Nederlandse"/>
    <s v="M"/>
    <s v="Oudland 13"/>
    <s v="4617 ME BERGEN OP ZOOM"/>
    <s v="Nederland"/>
    <s v="ruben_vangils@hotmail.com"/>
    <n v="-646151334"/>
    <n v="2013"/>
    <x v="1"/>
    <m/>
  </r>
  <r>
    <x v="1"/>
    <n v="4268296"/>
    <s v="rvannamen"/>
    <s v="Namen"/>
    <s v="R. van Namen"/>
    <s v="Rick"/>
    <x v="46"/>
    <s v="Transmissie"/>
    <s v="Laurens Kinkelaar"/>
    <d v="1995-03-27T00:00:00"/>
    <s v="Nederlandse"/>
    <s v="M"/>
    <s v="Narcisstraat 27"/>
    <s v="3333 GX ZWIJNDRECHT"/>
    <s v="Nederland"/>
    <s v="rickvannamen@hotmail.com"/>
    <m/>
    <n v="2013"/>
    <x v="1"/>
    <m/>
  </r>
  <r>
    <x v="1"/>
    <n v="4300122"/>
    <s v="rcsloof"/>
    <s v="Sloof"/>
    <s v="R.C. Sloof"/>
    <s v="Renco"/>
    <x v="46"/>
    <s v="Transmissie"/>
    <s v="Laurens Kinkelaar"/>
    <d v="1994-03-22T00:00:00"/>
    <s v="Nederlandse"/>
    <s v="M"/>
    <s v="Cortgene 119"/>
    <s v="2951 EC ALBLASSERDAM"/>
    <s v="Nederland"/>
    <s v="rencosloof@gmail.com"/>
    <n v="-610679991"/>
    <n v="2013"/>
    <x v="1"/>
    <m/>
  </r>
  <r>
    <x v="1"/>
    <n v="4326377"/>
    <s v="lverbaas"/>
    <s v="Verbaas"/>
    <s v="L. Verbaas"/>
    <s v="Luc"/>
    <x v="46"/>
    <s v="Transmissie"/>
    <s v="Laurens Kinkelaar"/>
    <d v="1994-01-09T00:00:00"/>
    <s v="Nederlandse"/>
    <s v="M"/>
    <s v="Huis te Landelaan 19"/>
    <s v="2283 SE RIJSWIJK ZH"/>
    <s v="Nederland"/>
    <s v="lucverbaas@gmail.com"/>
    <n v="-681894775"/>
    <n v="2013"/>
    <x v="1"/>
    <m/>
  </r>
  <r>
    <x v="1"/>
    <n v="4309960"/>
    <s v="pverweij"/>
    <s v="Verweij"/>
    <s v="P.J. Verweij"/>
    <s v="Peter"/>
    <x v="46"/>
    <s v="Transmissie"/>
    <s v="Laurens Kinkelaar"/>
    <d v="1994-11-21T00:00:00"/>
    <s v="Nederlandse"/>
    <s v="M"/>
    <s v="Riojagaard 44"/>
    <s v="3446 WD WOERDEN"/>
    <s v="Nederland"/>
    <s v="peter-verweij@hotmail.com"/>
    <n v="-618350968"/>
    <n v="2013"/>
    <x v="1"/>
    <m/>
  </r>
  <r>
    <x v="1"/>
    <n v="4303032"/>
    <s v="dtbouwers"/>
    <s v="Bouwers"/>
    <s v="D.T. Bouwers"/>
    <s v="Douwe"/>
    <x v="47"/>
    <s v="Transmissie"/>
    <s v="Laurens Kinkelaar"/>
    <d v="1994-10-03T00:00:00"/>
    <s v="Nederlandse"/>
    <s v="M"/>
    <s v="Waldeck-Pyrmontlaan 4"/>
    <s v="3062 BV ROTTERDAM"/>
    <s v="Nederland"/>
    <s v="douwe@bouwers.nl"/>
    <n v="-615518578"/>
    <n v="2013"/>
    <x v="1"/>
    <m/>
  </r>
  <r>
    <x v="1"/>
    <n v="4207378"/>
    <s v="lljgevers"/>
    <s v="Gevers"/>
    <s v="L.L.J. Gevers"/>
    <s v="Lars"/>
    <x v="47"/>
    <s v="Transmissie"/>
    <s v="Laurens Kinkelaar"/>
    <d v="1993-12-21T00:00:00"/>
    <s v="Nederlandse"/>
    <s v="M"/>
    <s v="Besselaar 8"/>
    <s v="5467 JA VEGHEL"/>
    <s v="Nederland"/>
    <s v="lars_gevers@hotmail.com"/>
    <n v="-611718329"/>
    <n v="2012"/>
    <x v="2"/>
    <m/>
  </r>
  <r>
    <x v="1"/>
    <n v="4279646"/>
    <s v="bartdegraaf"/>
    <s v="Graaf"/>
    <s v="B. de Graaf"/>
    <s v="Bart"/>
    <x v="47"/>
    <s v="Transmissie"/>
    <s v="Laurens Kinkelaar"/>
    <d v="1994-06-06T00:00:00"/>
    <s v="Nederlandse"/>
    <s v="M"/>
    <s v="Meerstraat 11"/>
    <s v="1411 BG NAARDEN"/>
    <s v="Nederland"/>
    <s v="bartdegraaf.94@gmail.com"/>
    <n v="-620677120"/>
    <n v="2013"/>
    <x v="1"/>
    <m/>
  </r>
  <r>
    <x v="1"/>
    <n v="4281004"/>
    <s v="timjonker"/>
    <s v="Jonker"/>
    <s v="T. Jonker"/>
    <s v="Tim"/>
    <x v="47"/>
    <s v="Transmissie"/>
    <s v="Laurens Kinkelaar"/>
    <d v="1995-05-03T00:00:00"/>
    <s v="Nederlandse"/>
    <s v="M"/>
    <s v="Valkkooglaan 56"/>
    <s v="1705 AP HEERHUGOWAARD"/>
    <s v="Nederland"/>
    <s v="timjonker@live.nl"/>
    <n v="-627614883"/>
    <n v="2013"/>
    <x v="1"/>
    <m/>
  </r>
  <r>
    <x v="1"/>
    <n v="4330013"/>
    <s v="jjakramer"/>
    <s v="Kramer"/>
    <s v="J.J.A. Kramer"/>
    <s v="Jelle"/>
    <x v="47"/>
    <s v="Transmissie"/>
    <s v="Laurens Kinkelaar"/>
    <d v="1994-04-08T00:00:00"/>
    <s v="Nederlandse"/>
    <s v="M"/>
    <s v="v Goghplantsoen 8"/>
    <s v="2954 NL ALBLASSERDAM"/>
    <s v="Nederland"/>
    <s v="jelle_kramerjjak@hotmail.com"/>
    <n v="-651087763"/>
    <n v="2013"/>
    <x v="1"/>
    <m/>
  </r>
  <r>
    <x v="1"/>
    <n v="4176413"/>
    <s v="rkulling"/>
    <s v="Külling"/>
    <s v="R. Külling"/>
    <s v="Richard"/>
    <x v="47"/>
    <s v="Transmissie"/>
    <s v="Laurens Kinkelaar"/>
    <d v="1993-01-19T00:00:00"/>
    <s v="Nederlandse"/>
    <s v="M"/>
    <m/>
    <m/>
    <m/>
    <s v="rkuelling@hotmail.com"/>
    <n v="-624435011"/>
    <n v="2013"/>
    <x v="1"/>
    <s v="voor 2e semester 2012 gestopt"/>
  </r>
  <r>
    <x v="1"/>
    <n v="4294041"/>
    <s v="btulp"/>
    <s v="Tulp"/>
    <s v="B. Tulp"/>
    <s v="Bob"/>
    <x v="47"/>
    <s v="Transmissie"/>
    <s v="Laurens Kinkelaar"/>
    <d v="1994-08-22T00:00:00"/>
    <s v="Nederlandse"/>
    <s v="M"/>
    <s v="Aert van Neslaan 70"/>
    <s v="2341 HX OEGSTGEEST"/>
    <s v="Nederland"/>
    <s v="asfdbob@gmail.com"/>
    <n v="-624921367"/>
    <n v="2013"/>
    <x v="1"/>
    <m/>
  </r>
  <r>
    <x v="1"/>
    <n v="4278798"/>
    <s v="sajvanwijk"/>
    <s v="Wijk"/>
    <s v="S.A.J. van Wijk"/>
    <s v="Sebastiaan"/>
    <x v="47"/>
    <s v="Transmissie"/>
    <s v="Laurens Kinkelaar"/>
    <d v="1995-08-19T00:00:00"/>
    <s v="Nederlandse"/>
    <s v="M"/>
    <s v="Hoofdweg 87"/>
    <s v="6744 WH EDERVEEN"/>
    <s v="Nederland"/>
    <s v="sebas-vanwijk@hotmail.com"/>
    <n v="-650464523"/>
    <n v="2013"/>
    <x v="1"/>
    <m/>
  </r>
  <r>
    <x v="1"/>
    <n v="4317335"/>
    <s v="sdalblas"/>
    <s v="Alblas"/>
    <s v="S.D. Alblas"/>
    <s v="Sander"/>
    <x v="48"/>
    <s v="Stoterstang"/>
    <s v="Bart Koek"/>
    <d v="1993-10-09T00:00:00"/>
    <s v="Nederlandse"/>
    <s v="M"/>
    <s v="Binnenlandse Baan 114"/>
    <s v="2991 CA BARENDRECHT"/>
    <s v="Nederland"/>
    <s v="s.d.alblas@outlook.com"/>
    <m/>
    <n v="2013"/>
    <x v="1"/>
    <m/>
  </r>
  <r>
    <x v="1"/>
    <n v="4294009"/>
    <s v="sbalvert"/>
    <s v="Balvert"/>
    <s v="S. Balvert"/>
    <s v="Stephan"/>
    <x v="48"/>
    <s v="Stoterstang"/>
    <s v="Bart Koek"/>
    <d v="1994-10-28T00:00:00"/>
    <s v="Nederlandse"/>
    <s v="M"/>
    <s v="Sweelinckstraat 115"/>
    <s v="2983 XJ RIDDERKERK"/>
    <s v="Nederland"/>
    <s v="stephan847@hotmail.com"/>
    <n v="-613209084"/>
    <n v="2013"/>
    <x v="1"/>
    <m/>
  </r>
  <r>
    <x v="1"/>
    <n v="4273281"/>
    <s v="keesvandenberg"/>
    <s v="Berg"/>
    <s v="K. van den Berg"/>
    <s v="Kees"/>
    <x v="48"/>
    <s v="Stoterstang"/>
    <s v="Bart Koek"/>
    <d v="1995-05-25T00:00:00"/>
    <s v="Nederlandse"/>
    <s v="M"/>
    <s v="Steinstraat 19"/>
    <s v="4311 BH BRUINISSE"/>
    <s v="Nederland"/>
    <s v="bru6_95@hotmail.com"/>
    <n v="-620869462"/>
    <n v="2013"/>
    <x v="1"/>
    <m/>
  </r>
  <r>
    <x v="1"/>
    <n v="4295587"/>
    <s v="wivandenbrink"/>
    <s v="Brink"/>
    <s v="W.I. van den Brink"/>
    <s v="Wouter"/>
    <x v="48"/>
    <s v="Stoterstang"/>
    <s v="Bart Koek"/>
    <d v="1994-08-29T00:00:00"/>
    <s v="Nederlandse"/>
    <s v="M"/>
    <s v="Amsteldijk Noord 104 a"/>
    <s v="1183 TH AMSTELVEEN"/>
    <s v="Nederland"/>
    <s v="wouter_i_vandenbrink@hotmail.com"/>
    <n v="-623196422"/>
    <n v="2013"/>
    <x v="1"/>
    <m/>
  </r>
  <r>
    <x v="1"/>
    <n v="4288025"/>
    <s v="wdonders"/>
    <s v="Donders"/>
    <s v="W.E.C. Donders"/>
    <s v="Wouter"/>
    <x v="48"/>
    <s v="Stoterstang"/>
    <s v="Bart Koek"/>
    <d v="1995-03-25T00:00:00"/>
    <s v="Nederlandse"/>
    <s v="M"/>
    <s v="Winkelsestraat 15"/>
    <s v="5074 PA BIEZENMORTEL"/>
    <s v="Nederland"/>
    <s v="dondersvet@xs4all.nl"/>
    <n v="-640320148"/>
    <n v="2013"/>
    <x v="1"/>
    <m/>
  </r>
  <r>
    <x v="1"/>
    <n v="4336194"/>
    <s v="ejekel"/>
    <s v="Jekel"/>
    <s v="E.P. Jekel"/>
    <s v="Eelco"/>
    <x v="48"/>
    <s v="Stoterstang"/>
    <s v="Bart Koek"/>
    <d v="1987-06-29T00:00:00"/>
    <s v="Nederlandse"/>
    <s v="M"/>
    <s v="Paterswoldseweg 27"/>
    <s v="9726 BB GRONINGEN"/>
    <s v="Nederland"/>
    <s v="epjekel@gmail.com"/>
    <n v="-631391337"/>
    <n v="2013"/>
    <x v="1"/>
    <m/>
  </r>
  <r>
    <x v="1"/>
    <n v="4302923"/>
    <s v="wrijpstra"/>
    <s v="Rijpstra"/>
    <s v="W. Rijpstra"/>
    <s v="Wessel"/>
    <x v="48"/>
    <s v="Stoterstang"/>
    <s v="Bart Koek"/>
    <d v="1993-08-19T00:00:00"/>
    <s v="Nederlandse"/>
    <s v="M"/>
    <s v="Vijfhuisterdijk 14"/>
    <s v="9074 TE HALLUM"/>
    <s v="Nederland"/>
    <s v="wesselrypstra@gmail.com"/>
    <n v="-658933355"/>
    <n v="2013"/>
    <x v="1"/>
    <m/>
  </r>
  <r>
    <x v="1"/>
    <n v="4281950"/>
    <s v="dschoorl"/>
    <s v="Schoorl"/>
    <s v="R.D. Schoorl"/>
    <s v="Daan"/>
    <x v="48"/>
    <s v="Stoterstang"/>
    <s v="Bart Koek"/>
    <d v="1992-02-17T00:00:00"/>
    <s v="Nederlandse"/>
    <s v="M"/>
    <s v="Spiegelenburghlaan 8"/>
    <s v="2111 BM AERDENHOUT"/>
    <s v="Nederland"/>
    <s v="schoorl@wxs.nl"/>
    <n v="-653448444"/>
    <n v="2013"/>
    <x v="1"/>
    <m/>
  </r>
  <r>
    <x v="1"/>
    <n v="4301757"/>
    <s v="dvanduijvenbod"/>
    <s v="Duijvenboden"/>
    <s v="D.A. van Duijvenboden"/>
    <s v="Dylan"/>
    <x v="49"/>
    <s v="Stoterstang"/>
    <s v="Bart Koek"/>
    <d v="1995-06-13T00:00:00"/>
    <s v="Nederlandse"/>
    <s v="M"/>
    <s v="Schoener 18"/>
    <s v="1991 XC VELSERBROEK"/>
    <s v="Nederland"/>
    <s v="dylanvd13@gmail.com"/>
    <n v="-634278197"/>
    <n v="2013"/>
    <x v="1"/>
    <m/>
  </r>
  <r>
    <x v="1"/>
    <n v="4286758"/>
    <s v="mcgraaf"/>
    <s v="Graaf"/>
    <s v="M.C. de Graaf"/>
    <s v="Marc"/>
    <x v="49"/>
    <s v="Stoterstang"/>
    <s v="Bart Koek"/>
    <d v="1994-12-06T00:00:00"/>
    <s v="Nederlandse"/>
    <s v="M"/>
    <s v="Zilvermeeuwstraat 1"/>
    <s v="4301 WS ZIERIKZEE"/>
    <s v="Nederland"/>
    <s v="marc_7bergen@hotmail.com"/>
    <n v="-654690161"/>
    <n v="2013"/>
    <x v="1"/>
    <m/>
  </r>
  <r>
    <x v="1"/>
    <n v="4301706"/>
    <s v="lhenderik"/>
    <s v="Henderik"/>
    <s v="L.N. Henderik"/>
    <s v="Luc"/>
    <x v="49"/>
    <s v="Stoterstang"/>
    <s v="Bart Koek"/>
    <d v="1995-04-03T00:00:00"/>
    <s v="Nederlandse"/>
    <s v="M"/>
    <s v="Tulastraat 52"/>
    <s v="3573 XH UTRECHT"/>
    <s v="Nederland"/>
    <s v="l.henderik@kpnmail.nl"/>
    <n v="-648565652"/>
    <n v="2013"/>
    <x v="1"/>
    <m/>
  </r>
  <r>
    <x v="1"/>
    <n v="4322193"/>
    <s v="jkerstens"/>
    <s v="Kerstens"/>
    <s v="J.P.M. Kerstens"/>
    <s v="Jerome"/>
    <x v="49"/>
    <s v="Stoterstang"/>
    <s v="Bart Koek"/>
    <d v="1993-09-01T00:00:00"/>
    <s v="Nederlandse"/>
    <s v="M"/>
    <s v="Spreeuwenburgerweg 18"/>
    <s v="5061 PH OISTERWIJK"/>
    <s v="Nederland"/>
    <s v="m.c.j.f.kerstens@rn.rabobank.nl"/>
    <n v="-623772430"/>
    <n v="2013"/>
    <x v="1"/>
    <m/>
  </r>
  <r>
    <x v="1"/>
    <n v="4169778"/>
    <s v="wrkok"/>
    <s v="Kok"/>
    <s v="W.R. Kok"/>
    <s v="wouter"/>
    <x v="49"/>
    <s v="Stoterstang"/>
    <s v="Bart Koek"/>
    <d v="1993-06-27T00:00:00"/>
    <s v="Nederlandse"/>
    <s v="M"/>
    <s v="Kievithof 9"/>
    <s v="1444 VW PURMEREND"/>
    <s v="Nederland"/>
    <s v="w.r.kok@upcmail.nl"/>
    <n v="-628250752"/>
    <n v="2012"/>
    <x v="0"/>
    <m/>
  </r>
  <r>
    <x v="1"/>
    <n v="4302583"/>
    <s v="tskoster"/>
    <s v="Koster"/>
    <s v="T.S. Koster"/>
    <s v="Timo"/>
    <x v="49"/>
    <s v="Stoterstang"/>
    <s v="Bart Koek"/>
    <d v="1995-01-27T00:00:00"/>
    <s v="Nederlandse"/>
    <s v="M"/>
    <s v="Kastanjestraat 32"/>
    <s v="2023 TG HAARLEM"/>
    <s v="Nederland"/>
    <s v="timokoster1@gmail.com"/>
    <n v="-630984084"/>
    <n v="2013"/>
    <x v="1"/>
    <m/>
  </r>
  <r>
    <x v="1"/>
    <n v="4316878"/>
    <s v="nlander"/>
    <s v="Lander"/>
    <s v="N.P. Lander"/>
    <s v="Niels"/>
    <x v="49"/>
    <s v="Stoterstang"/>
    <s v="Bart Koek"/>
    <d v="1996-06-09T00:00:00"/>
    <s v="Nederlandse"/>
    <s v="M"/>
    <s v="Harry Mulischstraat 1"/>
    <s v="2251 ZJ VOORSCHOTEN"/>
    <s v="Nederland"/>
    <s v="niels.lander@gmail.com"/>
    <n v="-613309033"/>
    <n v="2013"/>
    <x v="1"/>
    <m/>
  </r>
  <r>
    <x v="1"/>
    <n v="4319605"/>
    <s v="pluik"/>
    <s v="Luik"/>
    <s v="P.M.J. Luik"/>
    <s v="Philine"/>
    <x v="49"/>
    <s v="Stoterstang"/>
    <s v="Bart Koek"/>
    <d v="1994-07-06T00:00:00"/>
    <s v="Nederlandse"/>
    <s v="V"/>
    <s v="Herungerweg 213"/>
    <s v="5913 HA VENLO"/>
    <s v="Nederland"/>
    <s v="philine.luik@gmail.com"/>
    <n v="-631346616"/>
    <n v="2013"/>
    <x v="1"/>
    <m/>
  </r>
  <r>
    <x v="1"/>
    <n v="4224175"/>
    <s v="levidekker"/>
    <s v="Dekker"/>
    <s v="L. Dekker"/>
    <s v="Levi"/>
    <x v="50"/>
    <s v="Stoterstang"/>
    <s v="Max van der Kolk"/>
    <d v="1988-12-26T00:00:00"/>
    <s v="Nederlandse"/>
    <s v="M"/>
    <s v="Heelmeesterstraat 75"/>
    <s v="3123 EE SCHIEDAM"/>
    <s v="Nederland"/>
    <s v="jj@led.demon.nl"/>
    <n v="-634168408"/>
    <n v="2013"/>
    <x v="1"/>
    <m/>
  </r>
  <r>
    <x v="1"/>
    <n v="4278801"/>
    <s v="ihilverda"/>
    <s v="Hilverda"/>
    <s v="I.M.W. Hilverda"/>
    <s v="Ingmar"/>
    <x v="50"/>
    <s v="Stoterstang"/>
    <s v="Max van der Kolk"/>
    <d v="1995-10-03T00:00:00"/>
    <s v="Nederlandse"/>
    <s v="M"/>
    <s v="Snoeklaan 177"/>
    <s v="2215 XE VOORHOUT"/>
    <s v="Nederland"/>
    <s v="ingmarhilverda@gmail.com"/>
    <n v="-637419666"/>
    <n v="2013"/>
    <x v="1"/>
    <m/>
  </r>
  <r>
    <x v="1"/>
    <n v="4310020"/>
    <s v="dterhorst"/>
    <s v="Horst"/>
    <s v="J.D. ter Horst"/>
    <s v="Daeny"/>
    <x v="50"/>
    <s v="Stoterstang"/>
    <s v="Max van der Kolk"/>
    <d v="1995-03-09T00:00:00"/>
    <s v="Nederlandse"/>
    <s v="M"/>
    <s v="Dorpsstraat 21"/>
    <s v="3223 BG HELLEVOETSLUIS"/>
    <s v="Nederland"/>
    <s v="daeny_1995@live.nl"/>
    <n v="-621446528"/>
    <n v="2013"/>
    <x v="1"/>
    <m/>
  </r>
  <r>
    <x v="1"/>
    <n v="4335325"/>
    <s v="jnooren"/>
    <s v="Nooren"/>
    <s v="J.L. Nooren"/>
    <s v="Jochen"/>
    <x v="50"/>
    <s v="Stoterstang"/>
    <s v="Max van der Kolk"/>
    <d v="1992-07-18T00:00:00"/>
    <s v="Nederlandse"/>
    <s v="M"/>
    <s v="Anemoonstraat 9 1"/>
    <s v="1031 GT AMSTERDAM"/>
    <s v="Nederland"/>
    <s v="jochennooren@gmail.com"/>
    <n v="-633164973"/>
    <n v="2013"/>
    <x v="1"/>
    <m/>
  </r>
  <r>
    <x v="1"/>
    <n v="4290542"/>
    <s v="dratering"/>
    <s v="Ratering"/>
    <s v="D. Ratering"/>
    <s v="Daan"/>
    <x v="50"/>
    <s v="Stoterstang"/>
    <s v="Max van der Kolk"/>
    <d v="1995-08-13T00:00:00"/>
    <s v="Nederlandse"/>
    <s v="M"/>
    <s v="Beckumerstraat 6"/>
    <s v="7548 BG ENSCHEDE"/>
    <s v="Nederland"/>
    <s v="daanratering@gmail.com"/>
    <n v="-641121296"/>
    <n v="2013"/>
    <x v="1"/>
    <m/>
  </r>
  <r>
    <x v="1"/>
    <n v="4296664"/>
    <s v="djvanrooijen"/>
    <s v="Rooijen"/>
    <s v="D.J. van Rooijen"/>
    <s v="Dennis"/>
    <x v="50"/>
    <s v="Stoterstang"/>
    <s v="Max van der Kolk"/>
    <d v="1994-11-08T00:00:00"/>
    <s v="Nederlandse"/>
    <s v="M"/>
    <s v="Soestdijkerstraatweg 9"/>
    <s v="1213 VP HILVERSUM"/>
    <s v="Nederland"/>
    <s v="vanrooijendennis@gmail.com"/>
    <n v="-610708537"/>
    <n v="2013"/>
    <x v="1"/>
    <m/>
  </r>
  <r>
    <x v="1"/>
    <n v="4293614"/>
    <s v="agvanderstar"/>
    <s v="Star"/>
    <s v="A.G. van der Star"/>
    <s v="Anne"/>
    <x v="50"/>
    <s v="Stoterstang"/>
    <s v="Max van der Kolk"/>
    <d v="1995-05-01T00:00:00"/>
    <s v="Nederlandse"/>
    <s v="V"/>
    <s v="Kameraarslag 35"/>
    <s v="2805 DN GOUDA"/>
    <s v="Nederland"/>
    <s v="hoi_anne@live.nl"/>
    <n v="-614778647"/>
    <n v="2013"/>
    <x v="1"/>
    <m/>
  </r>
  <r>
    <x v="1"/>
    <n v="4292987"/>
    <s v="jelledevries"/>
    <s v="Vries"/>
    <s v="J. de Vries"/>
    <s v="Jelle"/>
    <x v="50"/>
    <s v="Stoterstang"/>
    <s v="Max van der Kolk"/>
    <d v="1995-01-22T00:00:00"/>
    <s v="Nederlandse"/>
    <s v="M"/>
    <s v="Eemstraat 14"/>
    <s v="2025 RE HAARLEM"/>
    <s v="Nederland"/>
    <s v="jelle.devries@hetnet.nl"/>
    <n v="-624955728"/>
    <n v="2013"/>
    <x v="1"/>
    <m/>
  </r>
  <r>
    <x v="1"/>
    <n v="4318242"/>
    <s v="amvanderaa"/>
    <s v="Aa"/>
    <s v="A.M. van der Aa"/>
    <s v="Arne"/>
    <x v="51"/>
    <s v="Stoterstang"/>
    <s v="Max van der Kolk"/>
    <d v="1994-10-18T00:00:00"/>
    <s v="Nederlandse"/>
    <s v="M"/>
    <s v="Joost de Hondtlaan 9"/>
    <s v="2803 XH GOUDA"/>
    <s v="Nederland"/>
    <s v="arne94@live.nl"/>
    <n v="-634106695"/>
    <n v="2013"/>
    <x v="1"/>
    <m/>
  </r>
  <r>
    <x v="1"/>
    <n v="4298969"/>
    <s v="lfijen"/>
    <s v="Fijen"/>
    <s v="L.J.J. Fijen"/>
    <s v="Lucas"/>
    <x v="51"/>
    <s v="Stoterstang"/>
    <s v="Max van der Kolk"/>
    <d v="1994-07-14T00:00:00"/>
    <s v="Nederlandse"/>
    <s v="M"/>
    <s v="Spoorstraat 6"/>
    <s v="3743 EG BAARN"/>
    <s v="Nederland"/>
    <s v="lucas.fijen@gmail.com"/>
    <n v="-612973727"/>
    <n v="2013"/>
    <x v="1"/>
    <m/>
  </r>
  <r>
    <x v="1"/>
    <n v="4306821"/>
    <s v="jilleslangevel"/>
    <s v="Langeveld"/>
    <s v="J. Langeveld"/>
    <s v="Jilles"/>
    <x v="51"/>
    <s v="Stoterstang"/>
    <s v="Max van der Kolk"/>
    <d v="1995-07-20T00:00:00"/>
    <s v="Nederlandse"/>
    <s v="M"/>
    <s v="Kwikstaartlaan 20"/>
    <s v="2566 TS 'S-GRAVENHAGE"/>
    <s v="Nederland"/>
    <s v="jilleslangeveld@gmail.com"/>
    <n v="-611727517"/>
    <n v="2013"/>
    <x v="1"/>
    <m/>
  </r>
  <r>
    <x v="1"/>
    <n v="4286863"/>
    <s v="llipman"/>
    <s v="Lipman"/>
    <s v="L.R. Lipman"/>
    <s v="Lars"/>
    <x v="51"/>
    <s v="Stoterstang"/>
    <s v="Max van der Kolk"/>
    <d v="1996-03-19T00:00:00"/>
    <s v="Nederlandse"/>
    <s v="M"/>
    <s v="Maris 37"/>
    <s v="2681 MP MONSTER"/>
    <s v="Nederland"/>
    <s v="lrlipman@hotmail.com"/>
    <n v="-683795356"/>
    <n v="2013"/>
    <x v="1"/>
    <m/>
  </r>
  <r>
    <x v="1"/>
    <n v="4285298"/>
    <s v="gavanderveen"/>
    <s v="Veen"/>
    <s v="G.A. van der Veen"/>
    <s v="Gerard"/>
    <x v="51"/>
    <s v="Stoterstang"/>
    <s v="Max van der Kolk"/>
    <d v="1995-01-28T00:00:00"/>
    <s v="Nederlandse"/>
    <s v="M"/>
    <s v="De Genestetlaan 18"/>
    <s v="1985 GH DRIEHUIS NH"/>
    <s v="Nederland"/>
    <s v="gerardpost@live.nl"/>
    <n v="-634667863"/>
    <n v="2013"/>
    <x v="1"/>
    <m/>
  </r>
  <r>
    <x v="1"/>
    <n v="4317564"/>
    <s v="kvanderwelle"/>
    <s v="Welle"/>
    <s v="K. van der Welle"/>
    <s v="Kevin van der W"/>
    <x v="51"/>
    <s v="Stoterstang"/>
    <s v="Max van der Kolk"/>
    <d v="1995-01-14T00:00:00"/>
    <s v="Nederlandse"/>
    <s v="M"/>
    <s v="Jan van Goyenstraat 21"/>
    <s v="2923 AD KRIMPEN AAN DEN IJSSEL"/>
    <s v="Nederland"/>
    <s v="kvdwelle0180@hotmail.com"/>
    <n v="-621607605"/>
    <n v="2013"/>
    <x v="1"/>
    <m/>
  </r>
  <r>
    <x v="1"/>
    <n v="4297474"/>
    <s v="bdewinkel"/>
    <s v="Winkel"/>
    <s v="B.C. de Winkel"/>
    <s v="Bas"/>
    <x v="51"/>
    <s v="Stoterstang"/>
    <s v="Max van der Kolk"/>
    <d v="1995-10-22T00:00:00"/>
    <s v="Nederlandse"/>
    <s v="M"/>
    <s v="Mahlerstraat 13"/>
    <s v="2901 GE CAPELLE AAN DEN IJSSEL"/>
    <s v="Nederland"/>
    <s v="basdew@live.nl"/>
    <n v="-651857917"/>
    <n v="2013"/>
    <x v="1"/>
    <m/>
  </r>
  <r>
    <x v="1"/>
    <n v="4233913"/>
    <s v="gwolbert"/>
    <s v="Wolbert"/>
    <s v="G.L.A. Wolbert"/>
    <s v="Gijs"/>
    <x v="51"/>
    <s v="Stoterstang"/>
    <s v="Max van der Kolk"/>
    <d v="1994-05-27T00:00:00"/>
    <s v="Nederlandse"/>
    <s v="M"/>
    <s v="Rozenstraat 16"/>
    <s v="7255 XT HENGELO GLD"/>
    <s v="Nederland"/>
    <s v="gijs.wolbert@gmail.com"/>
    <n v="-643263348"/>
    <n v="2012"/>
    <x v="2"/>
    <m/>
  </r>
  <r>
    <x v="1"/>
    <n v="4237722"/>
    <s v="abatchelor"/>
    <s v="Batchelor"/>
    <s v="A. Batchelor"/>
    <s v="Alexander"/>
    <x v="52"/>
    <s v="Stoterstang"/>
    <s v="Joep Kooijman"/>
    <d v="1994-05-31T00:00:00"/>
    <s v="Nederlandse"/>
    <s v="M"/>
    <m/>
    <m/>
    <m/>
    <s v="alks_alks@hotmail.com"/>
    <m/>
    <n v="2013"/>
    <x v="1"/>
    <s v="voor 2e semester 2012 gestopt"/>
  </r>
  <r>
    <x v="1"/>
    <n v="4273710"/>
    <s v="bartvaneeden"/>
    <s v="Eeden"/>
    <s v="B. van Eeden"/>
    <s v="Bart"/>
    <x v="52"/>
    <s v="Stoterstang"/>
    <s v="Joep Kooijman"/>
    <d v="1995-02-06T00:00:00"/>
    <s v="Nederlandse"/>
    <s v="M"/>
    <s v="Diamantsingel 32"/>
    <s v="4533 AV TERNEUZEN"/>
    <s v="Nederland"/>
    <s v="bartvaneeden@zeelandnet.nl"/>
    <n v="-639135394"/>
    <n v="2013"/>
    <x v="1"/>
    <m/>
  </r>
  <r>
    <x v="1"/>
    <n v="4318862"/>
    <s v="jespergroenend"/>
    <s v="Groenendijk"/>
    <s v="J. Groenendijk"/>
    <s v="Jesper"/>
    <x v="52"/>
    <s v="Stoterstang"/>
    <s v="Joep Kooijman"/>
    <d v="1994-12-30T00:00:00"/>
    <s v="Nederlandse"/>
    <s v="M"/>
    <s v="Groeneweg 36"/>
    <s v="2801 ZD GOUDA"/>
    <s v="Nederland"/>
    <s v="jespergroenendijk@hotmail.com"/>
    <n v="-651625935"/>
    <n v="2013"/>
    <x v="1"/>
    <m/>
  </r>
  <r>
    <x v="1"/>
    <n v="4277503"/>
    <s v="sgurses"/>
    <s v="Gürses"/>
    <s v="S.S. Gürses"/>
    <s v="Sergin"/>
    <x v="52"/>
    <s v="Stoterstang"/>
    <s v="Joep Kooijman"/>
    <d v="1993-11-11T00:00:00"/>
    <s v="Nederlandse"/>
    <s v="M"/>
    <s v="Grijpskerkstraat 10"/>
    <s v="6835 DH ARNHEM"/>
    <s v="Nederland"/>
    <s v="serginsalim@hotmail.com"/>
    <m/>
    <n v="2013"/>
    <x v="1"/>
    <m/>
  </r>
  <r>
    <x v="1"/>
    <n v="4317653"/>
    <s v="mpjoudshoorn"/>
    <s v="Oudshoorn"/>
    <s v="M.P.J. Oudshoorn"/>
    <s v="Max"/>
    <x v="52"/>
    <s v="Stoterstang"/>
    <s v="Joep Kooijman"/>
    <d v="1995-07-16T00:00:00"/>
    <s v="Nederlandse"/>
    <s v="M"/>
    <s v="Noordeindseweg 434"/>
    <s v="2651 LP BERKEL EN RODENRIJS"/>
    <s v="Nederland"/>
    <s v="max-oudshoorn@hotmail.com"/>
    <n v="-648402564"/>
    <n v="2013"/>
    <x v="1"/>
    <m/>
  </r>
  <r>
    <x v="1"/>
    <n v="4296257"/>
    <s v="rsslot"/>
    <s v="Slot"/>
    <s v="R.S. Slot"/>
    <s v="Ruud"/>
    <x v="52"/>
    <s v="Stoterstang"/>
    <s v="Joep Kooijman"/>
    <d v="1994-11-07T00:00:00"/>
    <s v="Nederlandse"/>
    <s v="M"/>
    <s v="Minister Loudonlaan 41"/>
    <s v="7521 BA ENSCHEDE"/>
    <s v="Nederland"/>
    <s v="r.slot@yahoo.nl"/>
    <n v="-624964370"/>
    <n v="2013"/>
    <x v="1"/>
    <m/>
  </r>
  <r>
    <x v="1"/>
    <n v="4273834"/>
    <s v="espeijer"/>
    <s v="Speijer"/>
    <s v="E. Speijer"/>
    <s v="Ethan"/>
    <x v="52"/>
    <s v="Stoterstang"/>
    <s v="Joep Kooijman"/>
    <d v="1994-06-27T00:00:00"/>
    <s v="Nederlandse"/>
    <s v="M"/>
    <s v="Strandwijck 24"/>
    <s v="2202 BV NOORDWIJK ZH"/>
    <s v="Nederland"/>
    <s v="ethanspeijer2010@gmail.com"/>
    <n v="-509206360"/>
    <n v="2013"/>
    <x v="1"/>
    <m/>
  </r>
  <r>
    <x v="1"/>
    <n v="4325613"/>
    <s v="martijnvisser"/>
    <s v="Visser"/>
    <s v="M. Visser"/>
    <s v="Martijn"/>
    <x v="52"/>
    <s v="Stoterstang"/>
    <s v="Joep Kooijman"/>
    <d v="1994-07-09T00:00:00"/>
    <s v="Nederlandse"/>
    <s v="M"/>
    <s v="Borneostraat 113"/>
    <s v="3131 JC VLAARDINGEN"/>
    <s v="Nederland"/>
    <s v="tijnvisser1@hotmail.com"/>
    <n v="-616775725"/>
    <n v="2013"/>
    <x v="1"/>
    <m/>
  </r>
  <r>
    <x v="1"/>
    <n v="4310500"/>
    <s v="cxchu"/>
    <s v="Chu"/>
    <s v="C.X. Chu"/>
    <s v="Christine"/>
    <x v="53"/>
    <s v="Stoterstang"/>
    <s v="Joep Kooijman"/>
    <d v="1995-03-17T00:00:00"/>
    <s v="Chinese"/>
    <s v="V"/>
    <s v="Bospeenhof 3"/>
    <s v="3331 RA ZWIJNDRECHT"/>
    <s v="Nederland"/>
    <s v="christinexchu@hotmail.com"/>
    <n v="-642672724"/>
    <n v="2013"/>
    <x v="1"/>
    <m/>
  </r>
  <r>
    <x v="1"/>
    <n v="4317165"/>
    <s v="bfaas"/>
    <s v="Faas"/>
    <s v="B.P.H. Faas"/>
    <s v="Bart"/>
    <x v="53"/>
    <s v="Stoterstang"/>
    <s v="Joep Kooijman"/>
    <d v="1996-07-09T00:00:00"/>
    <s v="Nederlandse"/>
    <s v="M"/>
    <s v="Schilp acker 2"/>
    <s v="1965 SG HEEMSKERK"/>
    <s v="Nederland"/>
    <s v="bart.faas@hotmail.com"/>
    <n v="-612535895"/>
    <n v="2013"/>
    <x v="1"/>
    <m/>
  </r>
  <r>
    <x v="1"/>
    <n v="4307062"/>
    <s v="kkoelewijn"/>
    <s v="Koelewijn"/>
    <s v="K.J.R. Koelewijn"/>
    <s v="Karsten"/>
    <x v="53"/>
    <s v="Stoterstang"/>
    <s v="Joep Kooijman"/>
    <d v="1996-06-07T00:00:00"/>
    <s v="Nederlandse"/>
    <s v="M"/>
    <s v="Panamakade 210"/>
    <s v="1019 TT AMSTERDAM"/>
    <s v="Nederland"/>
    <s v="karsten.koelewijn@hotmail.nl"/>
    <n v="-657933147"/>
    <n v="2013"/>
    <x v="1"/>
    <m/>
  </r>
  <r>
    <x v="1"/>
    <n v="4288386"/>
    <s v="lmikaellukerad"/>
    <s v="Mikael Luke Radheya Prananta"/>
    <s v=". Mikael Luke Radheya Prananta"/>
    <s v="Luke"/>
    <x v="53"/>
    <s v="Stoterstang"/>
    <s v="Joep Kooijman"/>
    <d v="1994-10-10T00:00:00"/>
    <s v="Indonesische"/>
    <s v="M"/>
    <s v="Burgemeestersrand 184"/>
    <s v="2625 NZ DELFT"/>
    <s v="Nederland"/>
    <s v="lukeprananta@hotmail.com"/>
    <n v="-627357013"/>
    <n v="2013"/>
    <x v="1"/>
    <m/>
  </r>
  <r>
    <x v="1"/>
    <n v="4304187"/>
    <s v="bjmderuiter"/>
    <s v="Ruiter"/>
    <s v="B.J.M. de Ruiter"/>
    <s v="Bram"/>
    <x v="53"/>
    <s v="Stoterstang"/>
    <s v="Joep Kooijman"/>
    <d v="1995-01-13T00:00:00"/>
    <s v="Nederlandse"/>
    <s v="M"/>
    <s v="Kwekerijstraat 6"/>
    <s v="2613 VE DELFT"/>
    <s v="Nederland"/>
    <s v="aanbramderuiter@gmail.com"/>
    <n v="-642806396"/>
    <n v="2013"/>
    <x v="1"/>
    <m/>
  </r>
  <r>
    <x v="1"/>
    <n v="4304659"/>
    <s v="tstokbroeckx"/>
    <s v="Stokbroeckx"/>
    <s v="T. Stokbroeckx"/>
    <s v="Tim"/>
    <x v="53"/>
    <s v="Stoterstang"/>
    <s v="Joep Kooijman"/>
    <d v="1995-01-13T00:00:00"/>
    <s v="Nederlandse"/>
    <s v="M"/>
    <s v="Pieter de Hooghstraat 22"/>
    <s v="2612 VE DELFT"/>
    <s v="Nederland"/>
    <s v="tim.sto95@gmail.com"/>
    <n v="-611704442"/>
    <n v="2013"/>
    <x v="1"/>
    <m/>
  </r>
  <r>
    <x v="1"/>
    <n v="4140745"/>
    <s v="mauricethijssen"/>
    <s v="Thijssen"/>
    <s v="M. Thijssen"/>
    <s v="Maurice"/>
    <x v="53"/>
    <s v="Stoterstang"/>
    <s v="Joep Kooijman"/>
    <d v="1993-02-28T00:00:00"/>
    <s v="Nederlandse"/>
    <s v="M"/>
    <s v="Lindelaan 3"/>
    <s v="2641 AH PIJNACKER"/>
    <s v="Nederland"/>
    <s v="maurice@thijssen.me"/>
    <m/>
    <n v="2011"/>
    <x v="2"/>
    <m/>
  </r>
  <r>
    <x v="1"/>
    <n v="4315898"/>
    <s v="justinvantil"/>
    <s v="Til"/>
    <s v="J. van Til"/>
    <s v="Justin"/>
    <x v="53"/>
    <s v="Stoterstang"/>
    <s v="Joep Kooijman"/>
    <d v="1995-07-20T00:00:00"/>
    <s v="Nederlandse"/>
    <s v="M"/>
    <s v="Nieuwendammerdijk 149"/>
    <s v="1025 LG AMSTERDAM"/>
    <s v="Nederland"/>
    <s v="justinvantil@gmail.com"/>
    <n v="-681350357"/>
    <n v="2013"/>
    <x v="1"/>
    <m/>
  </r>
  <r>
    <x v="1"/>
    <n v="4320131"/>
    <s v="abrunt"/>
    <s v="Brunt"/>
    <s v="A. Brunt"/>
    <s v="Alex"/>
    <x v="54"/>
    <s v="Stoterstang"/>
    <s v="Hasim Korkmaz"/>
    <d v="1995-01-08T00:00:00"/>
    <s v="Nederlandse"/>
    <s v="M"/>
    <s v="Emmastraat 114"/>
    <s v="3181 GC ROZENBURG ZH"/>
    <s v="Nederland"/>
    <s v="alex.b95@live.nl"/>
    <n v="-638763340"/>
    <n v="2013"/>
    <x v="1"/>
    <m/>
  </r>
  <r>
    <x v="1"/>
    <n v="4317122"/>
    <s v="tbruschinski"/>
    <s v="Bruschinski"/>
    <s v="T.L. Bruschinski"/>
    <s v="Tom"/>
    <x v="54"/>
    <s v="Stoterstang"/>
    <s v="Hasim Korkmaz"/>
    <d v="1995-01-30T00:00:00"/>
    <s v="Nederlandse"/>
    <s v="M"/>
    <s v="Burgemeestersrand 170"/>
    <s v="2625 NZ DELFT"/>
    <s v="Nederland"/>
    <s v="tbruschinski@hotmail.com"/>
    <n v="-611735961"/>
    <n v="2013"/>
    <x v="1"/>
    <m/>
  </r>
  <r>
    <x v="1"/>
    <n v="4180429"/>
    <s v="sdeklerk"/>
    <s v="Klerk"/>
    <s v="S.J. de Klerk"/>
    <s v="Sebastiaan"/>
    <x v="54"/>
    <s v="Stoterstang"/>
    <s v="Hasim Korkmaz"/>
    <d v="1993-07-27T00:00:00"/>
    <s v="Nederlandse"/>
    <s v="M"/>
    <s v="Vecht 64"/>
    <s v="2911 EP NIEUWERKERK AD IJSSEL"/>
    <s v="Nederland"/>
    <s v="sebastiaandeklerk_@hotmail.com"/>
    <n v="-615433593"/>
    <n v="2011"/>
    <x v="17"/>
    <m/>
  </r>
  <r>
    <x v="1"/>
    <n v="4300572"/>
    <s v="joostschootstr"/>
    <s v="Schootstra"/>
    <s v="J. Schootstra"/>
    <s v="Joost"/>
    <x v="54"/>
    <s v="Stoterstang"/>
    <s v="Hasim Korkmaz"/>
    <d v="1995-06-27T00:00:00"/>
    <s v="Nederlandse"/>
    <s v="M"/>
    <s v="Slinge 44"/>
    <s v="9204 KM DRACHTEN"/>
    <s v="Nederland"/>
    <s v="joostschootstra@hotmail.com"/>
    <n v="-645921575"/>
    <n v="2013"/>
    <x v="1"/>
    <m/>
  </r>
  <r>
    <x v="1"/>
    <n v="4293118"/>
    <s v="jsprong"/>
    <s v="Sprong"/>
    <s v="J.P. Sprong"/>
    <s v="Jorben"/>
    <x v="54"/>
    <s v="Stoterstang"/>
    <s v="Hasim Korkmaz"/>
    <d v="1995-03-08T00:00:00"/>
    <s v="Nederlandse"/>
    <s v="M"/>
    <s v="Mantelmeeuwstraat 19"/>
    <s v="4301 WT ZIERIKZEE"/>
    <s v="Nederland"/>
    <s v="jorben.sprong@zeelandnet.nl"/>
    <n v="-634541893"/>
    <n v="2013"/>
    <x v="1"/>
    <m/>
  </r>
  <r>
    <x v="1"/>
    <n v="4320921"/>
    <s v="utodorovic"/>
    <s v="Todorovic"/>
    <s v="U. Todorovic"/>
    <s v="Uggi"/>
    <x v="54"/>
    <s v="Stoterstang"/>
    <s v="Hasim Korkmaz"/>
    <d v="1994-10-05T00:00:00"/>
    <s v="Nederlandse"/>
    <s v="M"/>
    <s v="Dilledonk-Noord 25"/>
    <s v="3206 BW SPIJKENISSE"/>
    <s v="Nederland"/>
    <s v="uggi7@hotmail.com"/>
    <n v="-683235448"/>
    <n v="2013"/>
    <x v="1"/>
    <m/>
  </r>
  <r>
    <x v="1"/>
    <n v="4314689"/>
    <s v="jpverschelling"/>
    <s v="Verschelling"/>
    <s v="J.Verschelling"/>
    <s v="Judith"/>
    <x v="54"/>
    <s v="Stoterstang"/>
    <s v="Hasim Korkmaz"/>
    <d v="1994-09-05T00:00:00"/>
    <s v="Nederlandse"/>
    <s v="V"/>
    <m/>
    <m/>
    <m/>
    <s v="Jpverschelling@gmail.com"/>
    <n v="681892389"/>
    <n v="2013"/>
    <x v="2"/>
    <m/>
  </r>
  <r>
    <x v="1"/>
    <n v="4321235"/>
    <s v="jwijlens"/>
    <s v="Wijlens"/>
    <s v="J. Wijlens"/>
    <s v="Jordi"/>
    <x v="54"/>
    <s v="Stoterstang"/>
    <s v="Hasim Korkmaz"/>
    <d v="1993-02-27T00:00:00"/>
    <s v="Nederlandse"/>
    <s v="M"/>
    <s v="Watermolenplantsoen 12"/>
    <s v="2036 MC HAARLEM"/>
    <s v="Nederland"/>
    <s v="jordiwijlens@gmail.com"/>
    <n v="-631998837"/>
    <n v="2013"/>
    <x v="1"/>
    <m/>
  </r>
  <r>
    <x v="1"/>
    <n v="4298284"/>
    <s v="mhelmich"/>
    <s v="Helmich"/>
    <s v="M.A.W. Helmich"/>
    <s v="Max"/>
    <x v="55"/>
    <s v="Stoterstang"/>
    <s v="Hasim Korkmaz"/>
    <d v="1995-03-17T00:00:00"/>
    <s v="Nederlandse"/>
    <s v="M"/>
    <s v="Bakenessergracht 70"/>
    <s v="2011 JX HAARLEM"/>
    <s v="Nederland"/>
    <s v="maxhelmich@hotmail.com"/>
    <n v="-650746720"/>
    <n v="2013"/>
    <x v="1"/>
    <m/>
  </r>
  <r>
    <x v="1"/>
    <n v="4329716"/>
    <s v="tmmmol"/>
    <s v="Mol"/>
    <s v="T.M.M. Mol"/>
    <s v="Timo Mol"/>
    <x v="55"/>
    <s v="Stoterstang"/>
    <s v="Hasim Korkmaz"/>
    <d v="1995-05-09T00:00:00"/>
    <s v="Nederlandse"/>
    <s v="M"/>
    <s v="Wolter Heukelslaan 46"/>
    <s v="3581 ST UTRECHT"/>
    <s v="Nederland"/>
    <s v="t.m.m.mol@xs4all.nl"/>
    <n v="-624989146"/>
    <n v="2013"/>
    <x v="1"/>
    <m/>
  </r>
  <r>
    <x v="1"/>
    <n v="4231821"/>
    <s v="rnejal"/>
    <s v="Nejal"/>
    <s v="R.K. Nejal"/>
    <s v="Ravin"/>
    <x v="55"/>
    <s v="Stoterstang"/>
    <s v="Hasim Korkmaz"/>
    <d v="1994-08-24T00:00:00"/>
    <s v="Nederlandse"/>
    <s v="M"/>
    <s v="Madelieflaan 7"/>
    <s v="4741 EZ HOEVEN"/>
    <s v="Nederland"/>
    <s v="krishan_ravin@hotmail.com"/>
    <m/>
    <n v="2013"/>
    <x v="1"/>
    <m/>
  </r>
  <r>
    <x v="1"/>
    <n v="4076893"/>
    <s v="cspagnol"/>
    <s v="Spagnol"/>
    <s v="C.D. Spagnol"/>
    <s v="Carlos"/>
    <x v="55"/>
    <s v="Stoterstang"/>
    <s v="Hasim Korkmaz"/>
    <d v="1989-01-03T00:00:00"/>
    <s v="Nederlandse"/>
    <s v="M"/>
    <s v="Korvezeestraat 501"/>
    <s v="2628 DZ DELFT"/>
    <s v="Nederland"/>
    <s v="spagnolcarlos@me.com"/>
    <n v="-639892172"/>
    <n v="2012"/>
    <x v="2"/>
    <m/>
  </r>
  <r>
    <x v="1"/>
    <n v="4249526"/>
    <s v="psulyman"/>
    <s v="Sulyman"/>
    <s v="P.D. Sulyman"/>
    <s v="Peywand"/>
    <x v="55"/>
    <s v="Stoterstang"/>
    <s v="Hasim Korkmaz"/>
    <d v="1994-07-17T00:00:00"/>
    <s v="Nederlandse"/>
    <s v="M"/>
    <s v="Rozensteinstraat 81"/>
    <s v="2242 VS WASSENAAR"/>
    <s v="Nederland"/>
    <s v="pijwand_1994@live.nl"/>
    <n v="-637445391"/>
    <n v="2012"/>
    <x v="14"/>
    <m/>
  </r>
  <r>
    <x v="1"/>
    <n v="4286022"/>
    <s v="hvader"/>
    <s v="Vader"/>
    <s v="H.S. Vader"/>
    <s v="Hugo"/>
    <x v="55"/>
    <s v="Stoterstang"/>
    <s v="Hasim Korkmaz"/>
    <d v="1993-10-14T00:00:00"/>
    <s v="Nederlandse"/>
    <s v="M"/>
    <s v="Remmerdel 44"/>
    <s v="1749 JN WARMENHUIZEN"/>
    <s v="Nederland"/>
    <s v="hugovader@quicknet.nl"/>
    <n v="-645717295"/>
    <n v="2013"/>
    <x v="1"/>
    <m/>
  </r>
  <r>
    <x v="1"/>
    <n v="4269993"/>
    <s v="rverbruggen"/>
    <s v="Verbruggen"/>
    <s v="R.B. Verbruggen"/>
    <s v="Roderik"/>
    <x v="55"/>
    <s v="Stoterstang"/>
    <s v="Hasim Korkmaz"/>
    <d v="1994-02-10T00:00:00"/>
    <s v="Nederlandse"/>
    <s v="M"/>
    <s v="Ennertsweg 42"/>
    <s v="58675 Hemer"/>
    <s v="Bondsrepubliek Duitsland"/>
    <s v="r.verbruggen@gmx.de"/>
    <m/>
    <n v="2013"/>
    <x v="1"/>
    <m/>
  </r>
  <r>
    <x v="1"/>
    <n v="4307208"/>
    <s v="lverburg"/>
    <s v="Verburg"/>
    <s v="L. Verburg"/>
    <s v="Lars"/>
    <x v="55"/>
    <s v="Stoterstang"/>
    <s v="Hasim Korkmaz"/>
    <d v="1994-04-06T00:00:00"/>
    <s v="Nederlandse"/>
    <s v="M"/>
    <s v="Fazantenkamp 740"/>
    <s v="3607 DS MAARSSEN"/>
    <s v="Nederland"/>
    <s v="lars_verburg27@hotmail.com"/>
    <n v="-650241842"/>
    <n v="2013"/>
    <x v="1"/>
    <m/>
  </r>
  <r>
    <x v="1"/>
    <n v="4312430"/>
    <s v="emdeboer"/>
    <s v="Boer"/>
    <s v="E.M. de Boer"/>
    <s v="Emiel"/>
    <x v="56"/>
    <s v="Stoterstang"/>
    <s v="Jelmer Kraaijeveld"/>
    <d v="1994-04-23T00:00:00"/>
    <s v="Nederlandse"/>
    <s v="M"/>
    <s v="Wilhelminaweg 9"/>
    <s v="3603 CR MAARSSEN"/>
    <s v="Nederland"/>
    <s v="emiel@dbde.nl"/>
    <m/>
    <n v="2013"/>
    <x v="1"/>
    <m/>
  </r>
  <r>
    <x v="1"/>
    <n v="4313755"/>
    <s v="lukeborst"/>
    <s v="Borst"/>
    <s v="L. Borst"/>
    <s v="Luke"/>
    <x v="56"/>
    <s v="Stoterstang"/>
    <s v="Jelmer Kraaijeveld"/>
    <d v="1995-06-18T00:00:00"/>
    <s v="Nederlandse"/>
    <s v="M"/>
    <s v="Geesterland 48"/>
    <s v="1645 RS URSEM"/>
    <s v="Nederland"/>
    <s v="lukeborst@outlook.com"/>
    <n v="-620287104"/>
    <n v="2013"/>
    <x v="1"/>
    <m/>
  </r>
  <r>
    <x v="1"/>
    <n v="4293134"/>
    <s v="mvanduijvendij"/>
    <s v="Duijvendijk"/>
    <s v="M.G. van Duijvendijk"/>
    <s v="Mart"/>
    <x v="56"/>
    <s v="Stoterstang"/>
    <s v="Jelmer Kraaijeveld"/>
    <d v="1990-03-06T00:00:00"/>
    <s v="Nederlandse"/>
    <s v="M"/>
    <s v="Lorentzkade 23"/>
    <s v="2313 GC LEIDEN"/>
    <s v="Nederland"/>
    <s v="mart.gvd@tiscali.nl"/>
    <n v="-644330018"/>
    <n v="2013"/>
    <x v="1"/>
    <m/>
  </r>
  <r>
    <x v="1"/>
    <n v="4301803"/>
    <s v="mmeuwissen"/>
    <s v="Meuwissen"/>
    <s v="M.T. Meuwissen"/>
    <s v="Mathijs"/>
    <x v="56"/>
    <s v="Stoterstang"/>
    <s v="Jelmer Kraaijeveld"/>
    <d v="1994-04-28T00:00:00"/>
    <s v="Nederlandse"/>
    <s v="M"/>
    <s v="Winkeldijk 37"/>
    <s v="1391 HM ABCOUDE"/>
    <s v="Nederland"/>
    <s v="mathijsmeuwissen@hotmail.com"/>
    <n v="-630446195"/>
    <n v="2013"/>
    <x v="1"/>
    <m/>
  </r>
  <r>
    <x v="1"/>
    <n v="4304608"/>
    <s v="dneijzen"/>
    <s v="Neijzen"/>
    <s v="D.G. Neijzen"/>
    <s v="Daniel"/>
    <x v="56"/>
    <s v="Stoterstang"/>
    <s v="Jelmer Kraaijeveld"/>
    <d v="1994-09-09T00:00:00"/>
    <s v="Nederlandse"/>
    <s v="M"/>
    <s v="Klein Vrijenban 1"/>
    <s v="2611 XP DELFT"/>
    <s v="Nederland"/>
    <s v="danielneijzen@hotmail.com"/>
    <n v="-634643468"/>
    <n v="2013"/>
    <x v="1"/>
    <m/>
  </r>
  <r>
    <x v="1"/>
    <n v="4331540"/>
    <s v="rperik"/>
    <s v="Perik"/>
    <s v="R.G.M. Perik"/>
    <s v="Reinout"/>
    <x v="56"/>
    <s v="Stoterstang"/>
    <s v="Jelmer Kraaijeveld"/>
    <d v="1995-05-13T00:00:00"/>
    <s v="Nederlandse"/>
    <s v="M"/>
    <s v="Bontiuslaan 1 B"/>
    <s v="2242 PW WASSENAAR"/>
    <s v="Nederland"/>
    <s v="reinoutperik@live.nl"/>
    <m/>
    <n v="2013"/>
    <x v="1"/>
    <m/>
  </r>
  <r>
    <x v="1"/>
    <n v="4299175"/>
    <s v="vtedjawirja"/>
    <s v="Tedjawirja"/>
    <s v="V.T. Tedjawirja"/>
    <s v="Vincent"/>
    <x v="56"/>
    <s v="Stoterstang"/>
    <s v="Jelmer Kraaijeveld"/>
    <d v="1995-07-17T00:00:00"/>
    <s v="Nederlandse"/>
    <s v="M"/>
    <s v="Dotterbloem 15"/>
    <s v="1991 KA VELSERBROEK"/>
    <s v="Nederland"/>
    <s v="vincent_t_t@live.nl"/>
    <n v="-641776546"/>
    <n v="2013"/>
    <x v="1"/>
    <m/>
  </r>
  <r>
    <x v="1"/>
    <n v="4332741"/>
    <s v="ptheuws"/>
    <s v="Theuws"/>
    <s v="P. Theuws"/>
    <s v="Paul"/>
    <x v="56"/>
    <s v="Stoterstang"/>
    <s v="Jelmer Kraaijeveld"/>
    <d v="1993-08-08T00:00:00"/>
    <s v="Nederlandse"/>
    <s v="M"/>
    <s v="Hofmeierstraat 10"/>
    <s v="5663 CK GELDROP"/>
    <s v="Nederland"/>
    <s v="paul_theuws@hotmail.com"/>
    <n v="-642037007"/>
    <n v="2013"/>
    <x v="1"/>
    <m/>
  </r>
  <r>
    <x v="1"/>
    <n v="4277465"/>
    <s v="jbackhausen"/>
    <s v="Backhausen"/>
    <s v="J.M.A. Backhausen"/>
    <s v="Jens"/>
    <x v="57"/>
    <s v="Stoterstang"/>
    <s v="Jelmer Kraaijeveld"/>
    <d v="1994-03-12T00:00:00"/>
    <s v="Nederlandse"/>
    <s v="M"/>
    <s v="Bosrank 7"/>
    <s v="6271 EG GULPEN"/>
    <s v="Nederland"/>
    <s v="jensbackhausen@hotmail.com"/>
    <n v="-683214360"/>
    <n v="2013"/>
    <x v="1"/>
    <m/>
  </r>
  <r>
    <x v="1"/>
    <n v="4322568"/>
    <s v="jberlage"/>
    <s v="Berlage"/>
    <s v="B.J. Berlage"/>
    <s v="Joas"/>
    <x v="57"/>
    <s v="Stoterstang"/>
    <s v="Jelmer Kraaijeveld"/>
    <d v="1992-12-21T00:00:00"/>
    <s v="Nederlandse"/>
    <s v="M"/>
    <s v="Barnsteenstraat 44"/>
    <s v="2403 BZ ALPHEN AAN DEN RIJN"/>
    <s v="Nederland"/>
    <s v="joasb92@me.com"/>
    <n v="-625404270"/>
    <n v="2013"/>
    <x v="1"/>
    <m/>
  </r>
  <r>
    <x v="1"/>
    <n v="4292081"/>
    <s v="rtodinkla"/>
    <s v="Dinkla"/>
    <s v="R.T.O. Dinkla"/>
    <s v="Rogier"/>
    <x v="57"/>
    <s v="Stoterstang"/>
    <s v="Jelmer Kraaijeveld"/>
    <d v="1995-01-24T00:00:00"/>
    <s v="Nederlandse"/>
    <s v="M"/>
    <s v="North Deeside Road Edgehill H"/>
    <s v="AB13 0DH Milltimber"/>
    <s v="Groot-Brittannië"/>
    <s v="corcarla.dinkla@btinternet.com"/>
    <n v="-7963206357"/>
    <n v="2013"/>
    <x v="1"/>
    <m/>
  </r>
  <r>
    <x v="1"/>
    <n v="4324722"/>
    <s v="bgijsbers"/>
    <s v="Gijsbers"/>
    <s v="B.J.A. Gijsbers"/>
    <s v="Bart"/>
    <x v="57"/>
    <s v="Stoterstang"/>
    <s v="Jelmer Kraaijeveld"/>
    <d v="1994-02-03T00:00:00"/>
    <s v="Nederlandse"/>
    <s v="M"/>
    <s v="Laan van Arenstein 22"/>
    <s v="2341 LT OEGSTGEEST"/>
    <s v="Nederland"/>
    <s v="bartgijsbers94@gmail.com"/>
    <n v="-639461948"/>
    <n v="2013"/>
    <x v="1"/>
    <m/>
  </r>
  <r>
    <x v="1"/>
    <n v="4318595"/>
    <s v="jkodde"/>
    <s v="Kodde"/>
    <s v="J.J. Kodde"/>
    <s v="Johan"/>
    <x v="57"/>
    <s v="Stoterstang"/>
    <s v="Jelmer Kraaijeveld"/>
    <d v="1995-04-05T00:00:00"/>
    <s v="Nederlandse"/>
    <s v="M"/>
    <s v="Andante 39"/>
    <s v="2925 AA KRIMPEN AAN DEN IJSSEL"/>
    <s v="Nederland"/>
    <s v="johan95@live.nl"/>
    <n v="-641785498"/>
    <n v="2013"/>
    <x v="1"/>
    <m/>
  </r>
  <r>
    <x v="1"/>
    <n v="4312317"/>
    <s v="voffereins"/>
    <s v="Offereins"/>
    <s v="V.Q. Offereins"/>
    <s v="Vincent"/>
    <x v="57"/>
    <s v="Stoterstang"/>
    <s v="Jelmer Kraaijeveld"/>
    <d v="1995-09-22T00:00:00"/>
    <s v="Nederlandse"/>
    <s v="M"/>
    <s v="Warenarburg 40"/>
    <s v="2907 CL CAPELLE AAN DEN IJSSEL"/>
    <s v="Nederland"/>
    <s v="vqoffereins@hotmail.com"/>
    <n v="-652250452"/>
    <n v="2013"/>
    <x v="1"/>
    <m/>
  </r>
  <r>
    <x v="1"/>
    <n v="4218590"/>
    <s v="jjsnoek"/>
    <s v="Snoek"/>
    <s v="J.J. Snoek"/>
    <s v="Job"/>
    <x v="57"/>
    <s v="Stoterstang"/>
    <s v="Jelmer Kraaijeveld"/>
    <d v="1994-04-27T00:00:00"/>
    <s v="Nederlandse"/>
    <s v="M"/>
    <s v="Leeuweriklaan 49"/>
    <s v="1971 JX IJMUIDEN"/>
    <s v="Nederland"/>
    <s v="jobjoost@hotmail.com"/>
    <n v="-642904219"/>
    <n v="2012"/>
    <x v="13"/>
    <m/>
  </r>
  <r>
    <x v="1"/>
    <n v="4330420"/>
    <s v="fvanwieringen"/>
    <s v="Wieringen"/>
    <s v="F.M. van Wieringen"/>
    <s v="Floris"/>
    <x v="57"/>
    <s v="Stoterstang"/>
    <s v="Jelmer Kraaijeveld"/>
    <d v="1995-07-12T00:00:00"/>
    <s v="Nederlandse"/>
    <s v="M"/>
    <s v="Slingerweg 9"/>
    <s v="2111 AH AERDENHOUT"/>
    <s v="Nederland"/>
    <s v="florisvanwieringen@hotmail.com"/>
    <n v="-645315157"/>
    <n v="2013"/>
    <x v="1"/>
    <m/>
  </r>
  <r>
    <x v="1"/>
    <n v="4292626"/>
    <s v="mmablom"/>
    <s v="Blom"/>
    <s v="M.M.A. Blom"/>
    <s v="Matthias"/>
    <x v="58"/>
    <s v="Spruitstuk"/>
    <s v="Arnoud Kramer"/>
    <d v="1994-10-12T00:00:00"/>
    <s v="Nederlandse"/>
    <s v="M"/>
    <s v="Akkerweg 1 B"/>
    <s v="2751 CH MOERKAPELLE"/>
    <s v="Nederland"/>
    <s v="matthias.blom@hotmail.com"/>
    <n v="-641227954"/>
    <n v="2013"/>
    <x v="1"/>
    <m/>
  </r>
  <r>
    <x v="1"/>
    <n v="4257669"/>
    <s v="efigueiras"/>
    <s v="Figueiras"/>
    <s v="E.M.J. Figueiras"/>
    <s v="Eugene"/>
    <x v="58"/>
    <s v="Spruitstuk"/>
    <s v="Arnoud Kramer"/>
    <d v="1995-09-01T00:00:00"/>
    <s v="Nederlandse"/>
    <s v="M"/>
    <s v="Merelhof 2"/>
    <s v="2172 HZ SASSENHEIM"/>
    <s v="Nederland"/>
    <s v="cenpheem@wxs.nl"/>
    <n v="-627440350"/>
    <n v="2013"/>
    <x v="8"/>
    <m/>
  </r>
  <r>
    <x v="1"/>
    <n v="4324811"/>
    <s v="hdegoffau"/>
    <s v="Goffau"/>
    <s v="J. de Goffau"/>
    <s v="Hans"/>
    <x v="58"/>
    <s v="Spruitstuk"/>
    <s v="Arnoud Kramer"/>
    <d v="1995-07-26T00:00:00"/>
    <s v="Nederlandse"/>
    <s v="M"/>
    <s v="Heulenslag 73"/>
    <s v="2971 VH BLESKENSGRAAF CA"/>
    <s v="Nederland"/>
    <s v="hansdegoffau@solcon.nl"/>
    <n v="-612317509"/>
    <n v="2013"/>
    <x v="1"/>
    <m/>
  </r>
  <r>
    <x v="1"/>
    <n v="4294424"/>
    <s v="robertheemsker"/>
    <s v="Heemskerk"/>
    <s v="R.S. Heemskerk"/>
    <s v="Robert"/>
    <x v="58"/>
    <s v="Spruitstuk"/>
    <s v="Arnoud Kramer"/>
    <d v="1995-09-01T00:00:00"/>
    <s v="Nederlandse"/>
    <s v="M"/>
    <s v="Merelhof 2"/>
    <s v="2172 HZ SASSENHEIM"/>
    <s v="Nederland"/>
    <s v="cenpheem@wxs.nl"/>
    <n v="-627440350"/>
    <n v="2013"/>
    <x v="1"/>
    <m/>
  </r>
  <r>
    <x v="1"/>
    <n v="4247175"/>
    <s v="jjheetman"/>
    <s v="Heetman"/>
    <s v="J.J. Heetman"/>
    <s v="Jelle"/>
    <x v="58"/>
    <s v="Spruitstuk"/>
    <s v="Arnoud Kramer"/>
    <d v="1994-09-29T00:00:00"/>
    <s v="Nederlandse"/>
    <s v="M"/>
    <s v="Steeg 4"/>
    <s v="9331 AT NORG"/>
    <s v="Nederland"/>
    <s v="jelleheetman@hotmail.com"/>
    <n v="-615227337"/>
    <n v="2012"/>
    <x v="13"/>
    <m/>
  </r>
  <r>
    <x v="1"/>
    <n v="4237730"/>
    <s v="ejongkees"/>
    <s v="Jongkees"/>
    <s v="E.P. Jongkees"/>
    <s v="Eduard"/>
    <x v="58"/>
    <s v="Spruitstuk"/>
    <s v="Arnoud Kramer"/>
    <d v="1994-02-10T00:00:00"/>
    <s v="Nederlandse"/>
    <s v="M"/>
    <s v="Westlandseweg 57"/>
    <s v="2624 AC DELFT"/>
    <s v="Nederland"/>
    <s v="ejongkees@gmail.com"/>
    <n v="-612722140"/>
    <n v="2012"/>
    <x v="10"/>
    <m/>
  </r>
  <r>
    <x v="1"/>
    <n v="4260740"/>
    <s v="sverlinde"/>
    <s v="Verlinde"/>
    <s v="S.C. Verlinde"/>
    <s v="Sandra"/>
    <x v="58"/>
    <s v="Spruitstuk"/>
    <s v="Arnoud Kramer"/>
    <d v="1991-11-23T00:00:00"/>
    <s v="Nederlandse"/>
    <s v="V"/>
    <s v="Burg Van der Heidelaan 50"/>
    <s v="3451 ZV VLEUTEN"/>
    <s v="Nederland"/>
    <s v="sandraverlinde@hotmail.com"/>
    <n v="-654921089"/>
    <n v="2012"/>
    <x v="10"/>
    <m/>
  </r>
  <r>
    <x v="1"/>
    <n v="4102894"/>
    <s v="madank"/>
    <s v="Adank"/>
    <s v="M.W. Adank"/>
    <s v="Maartje"/>
    <x v="59"/>
    <s v="Spruitstuk"/>
    <s v="Arnoud Kramer"/>
    <m/>
    <s v="Nederlandse"/>
    <s v="V"/>
    <m/>
    <m/>
    <m/>
    <m/>
    <m/>
    <n v="2013"/>
    <x v="18"/>
    <m/>
  </r>
  <r>
    <x v="1"/>
    <n v="4295773"/>
    <s v="tabeckers"/>
    <s v="Beckers"/>
    <s v="T.A. Beckers"/>
    <s v="Thomas"/>
    <x v="59"/>
    <s v="Spruitstuk"/>
    <s v="Arnoud Kramer"/>
    <d v="1995-01-09T00:00:00"/>
    <s v="Nederlandse"/>
    <s v="M"/>
    <s v="Sleedoorn 7"/>
    <s v="3984 AR ODIJK"/>
    <s v="Nederland"/>
    <s v="thomas.be@hotmail.com"/>
    <n v="-629238623"/>
    <n v="2013"/>
    <x v="1"/>
    <m/>
  </r>
  <r>
    <x v="1"/>
    <n v="4223535"/>
    <s v="fbuiduc"/>
    <s v="Bui Duc"/>
    <s v="T.T. Bui Duc"/>
    <s v="Franco"/>
    <x v="59"/>
    <s v="Spruitstuk"/>
    <s v="Arnoud Kramer"/>
    <d v="1993-06-18T00:00:00"/>
    <s v="Nederlandse"/>
    <s v="M"/>
    <s v="Egbert van 't Oeverstr 8"/>
    <s v="2162 LW LISSE"/>
    <s v="Nederland"/>
    <s v="franco_buiduc@hotmail.com"/>
    <n v="-631168637"/>
    <n v="2013"/>
    <x v="1"/>
    <m/>
  </r>
  <r>
    <x v="1"/>
    <n v="4205804"/>
    <s v="ycinek"/>
    <s v="Cinek"/>
    <s v="Y. Cinek"/>
    <s v="Yavuz"/>
    <x v="59"/>
    <s v="Spruitstuk"/>
    <s v="Arnoud Kramer"/>
    <d v="1993-07-09T00:00:00"/>
    <s v="Nederlandse"/>
    <s v="M"/>
    <s v="Lutulistraat 7"/>
    <s v="2332 EB LEIDEN"/>
    <s v="Nederland"/>
    <s v="yavuzcinek@outlook.com"/>
    <n v="-628490925"/>
    <n v="2012"/>
    <x v="10"/>
    <m/>
  </r>
  <r>
    <x v="1"/>
    <n v="4314247"/>
    <s v="mjorna"/>
    <s v="Jorna"/>
    <s v="M.M. Jorna"/>
    <s v="Menno"/>
    <x v="59"/>
    <s v="Spruitstuk"/>
    <s v="Arnoud Kramer"/>
    <d v="1994-08-21T00:00:00"/>
    <s v="Nederlandse"/>
    <s v="M"/>
    <s v="Emmastraat 78"/>
    <s v="7941 HS MEPPEL"/>
    <s v="Nederland"/>
    <s v="mennojorna@gmail.com"/>
    <n v="-630150984"/>
    <n v="2013"/>
    <x v="1"/>
    <m/>
  </r>
  <r>
    <x v="1"/>
    <n v="4308069"/>
    <s v="hvandekamp"/>
    <s v="Kamp"/>
    <s v="H. van de Kamp"/>
    <s v="Wilhelm"/>
    <x v="59"/>
    <s v="Spruitstuk"/>
    <s v="Arnoud Kramer"/>
    <d v="1994-03-26T00:00:00"/>
    <s v="Nederlandse"/>
    <s v="M"/>
    <s v="Duinkerkerweg 3"/>
    <s v="8097 RX OOSTERWOLDE GLD"/>
    <s v="Nederland"/>
    <s v="wilhelm94@live.nl"/>
    <m/>
    <n v="2013"/>
    <x v="1"/>
    <m/>
  </r>
  <r>
    <x v="1"/>
    <n v="4312643"/>
    <s v="hlambriex"/>
    <s v="Lambriex"/>
    <s v="H.F.E.M. Lambriex"/>
    <s v="Hugo Lambriex"/>
    <x v="59"/>
    <s v="Spruitstuk"/>
    <s v="Arnoud Kramer"/>
    <d v="1996-08-02T00:00:00"/>
    <s v="Nederlandse"/>
    <s v="M"/>
    <s v="Meikers 4"/>
    <s v="6662 VL ELST GLD"/>
    <s v="Nederland"/>
    <s v="h.lambriex@hotmail.com"/>
    <n v="-654290910"/>
    <n v="2013"/>
    <x v="1"/>
    <m/>
  </r>
  <r>
    <x v="1"/>
    <n v="4215702"/>
    <s v="bnederkoorn"/>
    <s v="Nederkoorn"/>
    <s v="A.W.S. Nederkoorn"/>
    <s v="Bas"/>
    <x v="59"/>
    <s v="Spruitstuk"/>
    <s v="Arnoud Kramer"/>
    <d v="1994-05-06T00:00:00"/>
    <s v="Nederlandse"/>
    <s v="M"/>
    <s v="Houtweg 19"/>
    <s v="8167 PJ OENE"/>
    <s v="Nederland"/>
    <s v="basnederkoorn@hotmail.com"/>
    <n v="-650881240"/>
    <n v="2012"/>
    <x v="12"/>
    <m/>
  </r>
  <r>
    <x v="1"/>
    <n v="4293231"/>
    <s v="ssawyer"/>
    <s v="Sawyer"/>
    <s v="S.E. Sawyer"/>
    <s v="Sam"/>
    <x v="59"/>
    <s v="Spruitstuk"/>
    <s v="Arnoud Kramer"/>
    <d v="1993-05-31T00:00:00"/>
    <s v="Nederlandse"/>
    <s v="M"/>
    <s v="Dufaystraat 8"/>
    <s v="1075 GT AMSTERDAM"/>
    <s v="Nederland"/>
    <s v="samsawyer@hotmail.com"/>
    <n v="-646354384"/>
    <n v="2013"/>
    <x v="1"/>
    <m/>
  </r>
  <r>
    <x v="1"/>
    <n v="4292405"/>
    <s v="ebartels"/>
    <s v="Bartels"/>
    <s v="E.A. Bartels"/>
    <s v="Emiel"/>
    <x v="60"/>
    <s v="Spruitstuk"/>
    <s v="Lucas Kramer"/>
    <d v="1995-06-25T00:00:00"/>
    <s v="Nederlandse"/>
    <s v="M"/>
    <s v="Hermelijnlaan 10"/>
    <s v="3734 HC DEN DOLDER"/>
    <s v="Nederland"/>
    <s v="emiel.bartels@planet.nl"/>
    <n v="-639107216"/>
    <n v="2013"/>
    <x v="1"/>
    <m/>
  </r>
  <r>
    <x v="1"/>
    <n v="4312732"/>
    <s v="sfrench"/>
    <s v="French"/>
    <s v="S.L. French"/>
    <s v="Shin"/>
    <x v="60"/>
    <s v="Spruitstuk"/>
    <s v="Lucas Kramer"/>
    <d v="1995-02-11T00:00:00"/>
    <s v="Brits Burger"/>
    <s v="M"/>
    <s v="Koetlaan 40"/>
    <s v="2625 KS DELFT"/>
    <s v="Nederland"/>
    <s v="shin_french@hotmail.com"/>
    <n v="-651410858"/>
    <n v="2013"/>
    <x v="1"/>
    <m/>
  </r>
  <r>
    <x v="1"/>
    <n v="4301625"/>
    <s v="pietervanderga"/>
    <s v="Gaag"/>
    <s v="P. van der Gaag"/>
    <s v="Pieter"/>
    <x v="60"/>
    <s v="Spruitstuk"/>
    <s v="Lucas Kramer"/>
    <d v="1995-03-13T00:00:00"/>
    <s v="Nederlandse"/>
    <s v="M"/>
    <s v="Ruitwagen 177"/>
    <s v="3192 DE HOOGVLIET ROTTERDAM"/>
    <s v="Nederland"/>
    <s v="ptrgaag@gmail.com"/>
    <n v="-618870035"/>
    <n v="2013"/>
    <x v="1"/>
    <m/>
  </r>
  <r>
    <x v="1"/>
    <n v="4297334"/>
    <s v="dvanlaake"/>
    <s v="Laake"/>
    <s v="D. van Laake"/>
    <s v="Daniel"/>
    <x v="60"/>
    <s v="Spruitstuk"/>
    <s v="Lucas Kramer"/>
    <d v="1995-01-23T00:00:00"/>
    <s v="Nederlandse"/>
    <s v="M"/>
    <s v="Blekerstraat 51"/>
    <s v="7513 DR ENSCHEDE"/>
    <s v="Nederland"/>
    <s v="daniel.vanlaake@gmail.com"/>
    <n v="-611676423"/>
    <n v="2013"/>
    <x v="1"/>
    <m/>
  </r>
  <r>
    <x v="1"/>
    <n v="4236769"/>
    <s v="jvanrossem"/>
    <s v="Rossem"/>
    <s v="K.J. van Rossem"/>
    <s v="Joris"/>
    <x v="60"/>
    <s v="Spruitstuk"/>
    <s v="Lucas Kramer"/>
    <d v="1993-08-31T00:00:00"/>
    <s v="Nederlandse"/>
    <s v="M"/>
    <s v="Tromplaan 3"/>
    <s v="3742 AA BAARN"/>
    <s v="Nederland"/>
    <s v="jorisvrossem@hotmail.com"/>
    <n v="-636329974"/>
    <n v="2012"/>
    <x v="10"/>
    <m/>
  </r>
  <r>
    <x v="1"/>
    <n v="4284208"/>
    <s v="jruesen"/>
    <s v="Ruesen"/>
    <s v="J.J. Ruesen"/>
    <s v="Joël"/>
    <x v="60"/>
    <s v="Spruitstuk"/>
    <s v="Lucas Kramer"/>
    <d v="1994-05-10T00:00:00"/>
    <s v="Nederlandse"/>
    <s v="M"/>
    <s v="Hofmark 55"/>
    <s v="1355 HE ALMERE"/>
    <s v="Nederland"/>
    <s v="ruesen.joel@gmail.com"/>
    <n v="-636176033"/>
    <n v="2013"/>
    <x v="1"/>
    <m/>
  </r>
  <r>
    <x v="1"/>
    <n v="4227700"/>
    <s v="lstuijt"/>
    <s v="Stuijt"/>
    <s v="L. Stuijt"/>
    <s v="Lin"/>
    <x v="60"/>
    <s v="Spruitstuk"/>
    <s v="Lucas Kramer"/>
    <d v="1992-11-02T00:00:00"/>
    <s v="Nederlandse"/>
    <s v="V"/>
    <s v="Molenstraat 25"/>
    <s v="2611 JZ DELFT"/>
    <s v="Nederland"/>
    <s v="linstuyt@hotmail.com"/>
    <n v="-624713288"/>
    <n v="2012"/>
    <x v="10"/>
    <m/>
  </r>
  <r>
    <x v="1"/>
    <n v="4316894"/>
    <s v="lznidarsic"/>
    <s v="Žnidaršic"/>
    <s v="L.Y.D. Žnidaršic"/>
    <s v="Laurens"/>
    <x v="60"/>
    <s v="Spruitstuk"/>
    <s v="Lucas Kramer"/>
    <d v="1995-02-27T00:00:00"/>
    <s v="Nederlandse"/>
    <s v="M"/>
    <s v="Olympus 110"/>
    <s v="3524 WD UTRECHT"/>
    <s v="Nederland"/>
    <s v="laurensznidarsic@live.nl"/>
    <n v="-646685200"/>
    <n v="2013"/>
    <x v="1"/>
    <m/>
  </r>
  <r>
    <x v="1"/>
    <n v="4311191"/>
    <s v="jdekens"/>
    <s v="Dekens"/>
    <s v="J.H. Dekens"/>
    <s v="Jaap"/>
    <x v="61"/>
    <s v="Spruitstuk"/>
    <s v="Lucas Kramer"/>
    <d v="1995-09-08T00:00:00"/>
    <s v="Nederlandse"/>
    <s v="M"/>
    <s v="Moddermanlaan 8"/>
    <s v="9721 GN GRONINGEN"/>
    <s v="Nederland"/>
    <s v="jaapdekens@hotmail.com"/>
    <n v="-641130561"/>
    <n v="2013"/>
    <x v="1"/>
    <m/>
  </r>
  <r>
    <x v="1"/>
    <n v="4316703"/>
    <s v="her"/>
    <s v="Er"/>
    <s v="H. Er"/>
    <s v="Harun"/>
    <x v="61"/>
    <s v="Spruitstuk"/>
    <s v="Lucas Kramer"/>
    <d v="1994-07-11T00:00:00"/>
    <s v="Nederlandse"/>
    <s v="M"/>
    <s v="Ridderspoorstraat 19"/>
    <s v="3073 ET ROTTERDAM"/>
    <s v="Nederland"/>
    <s v="harun_1994@live.nl"/>
    <n v="-618390575"/>
    <n v="2013"/>
    <x v="1"/>
    <m/>
  </r>
  <r>
    <x v="1"/>
    <n v="4283678"/>
    <s v="mcfranken"/>
    <s v="Franken"/>
    <s v="M.C. Franken"/>
    <s v="Mathijs"/>
    <x v="61"/>
    <s v="Spruitstuk"/>
    <s v="Lucas Kramer"/>
    <d v="1994-03-04T00:00:00"/>
    <s v="Nederlandse"/>
    <s v="M"/>
    <s v="IJsseldijk 287 e"/>
    <s v="2924 AZ KRIMPEN AAN DEN IJSSEL"/>
    <s v="Nederland"/>
    <s v="franken@online.nl"/>
    <n v="-641610520"/>
    <n v="2013"/>
    <x v="1"/>
    <m/>
  </r>
  <r>
    <x v="1"/>
    <n v="4309928"/>
    <s v="rhulskamp"/>
    <s v="Hulskamp"/>
    <s v="R.L. Hulskamp"/>
    <s v="Romy"/>
    <x v="61"/>
    <s v="Spruitstuk"/>
    <s v="Lucas Kramer"/>
    <d v="1995-05-11T00:00:00"/>
    <s v="Nederlandse"/>
    <s v="V"/>
    <s v="Lijsterbeslaan 19"/>
    <s v="1185 JS AMSTELVEEN"/>
    <s v="Nederland"/>
    <s v="romyhulskamp@casema.nl"/>
    <n v="-634433370"/>
    <n v="2013"/>
    <x v="1"/>
    <m/>
  </r>
  <r>
    <x v="1"/>
    <n v="4298721"/>
    <s v="ckmkho"/>
    <s v="Kho"/>
    <s v="C.K.M. Kho"/>
    <s v="Calvin"/>
    <x v="61"/>
    <s v="Spruitstuk"/>
    <s v="Lucas Kramer"/>
    <d v="1995-03-18T00:00:00"/>
    <s v="Nederlandse"/>
    <s v="M"/>
    <m/>
    <m/>
    <m/>
    <s v="C.K.M.Kho@student.tudelft.nl"/>
    <m/>
    <n v="2013"/>
    <x v="1"/>
    <m/>
  </r>
  <r>
    <x v="1"/>
    <n v="4231503"/>
    <s v="wmarselje"/>
    <s v="Marselje"/>
    <s v="W.D. Marselje"/>
    <s v="Wouter"/>
    <x v="61"/>
    <s v="Spruitstuk"/>
    <s v="Lucas Kramer"/>
    <d v="1992-11-13T00:00:00"/>
    <s v="Nederlandse"/>
    <s v="M"/>
    <s v="Vlierwede 18"/>
    <s v="2993 GK BARENDRECHT"/>
    <s v="Nederland"/>
    <s v="wouter_marselje@hotmail.com"/>
    <n v="-650265805"/>
    <n v="2013"/>
    <x v="1"/>
    <m/>
  </r>
  <r>
    <x v="1"/>
    <n v="4268687"/>
    <s v="pieterpinson"/>
    <s v="Pinson"/>
    <s v="P. Pinson"/>
    <s v="Pieter"/>
    <x v="61"/>
    <s v="Spruitstuk"/>
    <s v="Lucas Kramer"/>
    <d v="1995-07-20T00:00:00"/>
    <s v="Belgische"/>
    <s v="M"/>
    <s v="Binderstraat 26"/>
    <s v="2151 BK NIEUW-VENNEP"/>
    <s v="Nederland"/>
    <s v="voetbal_pieter_p@hotmail.com"/>
    <n v="-683449501"/>
    <n v="2013"/>
    <x v="1"/>
    <m/>
  </r>
  <r>
    <x v="1"/>
    <n v="4316517"/>
    <s v="jhmzwart"/>
    <s v="Zwart"/>
    <s v="J.H.M. Zwart"/>
    <s v="Joost"/>
    <x v="61"/>
    <s v="Spruitstuk"/>
    <s v="Lucas Kramer"/>
    <d v="1994-10-11T00:00:00"/>
    <s v="Nederlandse"/>
    <s v="M"/>
    <s v="Galvanistraat 35"/>
    <s v="6533 DV NIJMEGEN"/>
    <s v="Nederland"/>
    <s v="joost.zwart@hotmail.com"/>
    <m/>
    <n v="2013"/>
    <x v="1"/>
    <m/>
  </r>
  <r>
    <x v="1"/>
    <n v="4295900"/>
    <s v="fgallagher"/>
    <s v="Gallagher"/>
    <s v="F.T. Gallagher"/>
    <s v="Frank"/>
    <x v="62"/>
    <s v="Spruitstuk"/>
    <s v="Niels Marck"/>
    <d v="1993-02-10T00:00:00"/>
    <s v="Nederlandse"/>
    <s v="M"/>
    <s v="Zomerlaan 4"/>
    <s v="2103 AJ HEEMSTEDE"/>
    <s v="Nederland"/>
    <s v="frankie.gallagher@hotmail.com"/>
    <n v="-653568453"/>
    <n v="2013"/>
    <x v="1"/>
    <m/>
  </r>
  <r>
    <x v="1"/>
    <n v="4292022"/>
    <s v="wmheeringa"/>
    <s v="Heeringa"/>
    <s v="W.M. Heeringa"/>
    <s v="Willem"/>
    <x v="62"/>
    <s v="Spruitstuk"/>
    <s v="Niels Marck"/>
    <d v="1995-09-28T00:00:00"/>
    <s v="Nederlandse"/>
    <s v="M"/>
    <s v="It Pounsmiet 28"/>
    <s v="9014 CK TERSOAL"/>
    <s v="Nederland"/>
    <s v="willemmathijs@msn.com"/>
    <n v="-611738187"/>
    <n v="2013"/>
    <x v="1"/>
    <m/>
  </r>
  <r>
    <x v="1"/>
    <n v="4326032"/>
    <s v="dvanderkroft"/>
    <s v="Kroft"/>
    <s v="D.F.A. van der Kroft"/>
    <s v="Douwe"/>
    <x v="62"/>
    <s v="Spruitstuk"/>
    <s v="Niels Marck"/>
    <d v="1995-05-22T00:00:00"/>
    <s v="Nederlandse"/>
    <s v="M"/>
    <s v="Sweelincklaan 21"/>
    <s v="3055 WT ROTTERDAM"/>
    <s v="Nederland"/>
    <s v="douwevdkroft@hotmail.com"/>
    <n v="-610634454"/>
    <n v="2013"/>
    <x v="1"/>
    <m/>
  </r>
  <r>
    <x v="1"/>
    <n v="4326857"/>
    <s v="tlinnarz"/>
    <s v="Linnarz"/>
    <s v="M.V.M. Linnarz"/>
    <s v="Tijn"/>
    <x v="62"/>
    <s v="Spruitstuk"/>
    <s v="Niels Marck"/>
    <d v="1995-01-27T00:00:00"/>
    <s v="Behandeld Als Nederlander"/>
    <s v="M"/>
    <s v="Konstantinstrasse  105"/>
    <s v="53179 Bonn"/>
    <s v="Bondsrepubliek Duitsland"/>
    <s v="martijn.linnarz@hotmail.com"/>
    <n v="-17632385604"/>
    <n v="2013"/>
    <x v="1"/>
    <m/>
  </r>
  <r>
    <x v="1"/>
    <n v="4217225"/>
    <s v="vvanrie"/>
    <s v="Rie"/>
    <s v="V.A. van Rie"/>
    <s v="Victor"/>
    <x v="62"/>
    <s v="Spruitstuk"/>
    <s v="Niels Marck"/>
    <d v="1994-06-27T00:00:00"/>
    <s v="Nederlandse"/>
    <s v="M"/>
    <s v="Kampakker 4"/>
    <s v="4813 PL BREDA"/>
    <s v="Nederland"/>
    <s v="evanrie@live.nl"/>
    <n v="-613108327"/>
    <n v="2012"/>
    <x v="2"/>
    <m/>
  </r>
  <r>
    <x v="1"/>
    <n v="4312627"/>
    <s v="jgschimmel"/>
    <s v="Schimmel"/>
    <s v="J.G. Schimmel"/>
    <s v="Janne"/>
    <x v="62"/>
    <s v="Spruitstuk"/>
    <s v="Niels Marck"/>
    <d v="1993-11-22T00:00:00"/>
    <s v="Nederlandse"/>
    <s v="M"/>
    <s v="Julianalaan 7"/>
    <s v="6824 KG ARNHEM"/>
    <s v="Nederland"/>
    <s v="janneschimmel@hotmail.com"/>
    <n v="-637196292"/>
    <n v="2013"/>
    <x v="1"/>
    <m/>
  </r>
  <r>
    <x v="1"/>
    <n v="4301854"/>
    <s v="raslingerland"/>
    <s v="Slingerland"/>
    <s v="R.A. Slingerland"/>
    <s v="Ruben"/>
    <x v="62"/>
    <s v="Spruitstuk"/>
    <s v="Niels Marck"/>
    <d v="1994-12-28T00:00:00"/>
    <s v="Nederlandse"/>
    <s v="M"/>
    <s v="Regenboog 96"/>
    <s v="3162 XA RHOON"/>
    <s v="Nederland"/>
    <s v="rubenslngrlnd@gmail.com"/>
    <n v="-620650857"/>
    <n v="2013"/>
    <x v="1"/>
    <m/>
  </r>
  <r>
    <x v="1"/>
    <n v="4240928"/>
    <s v="kvanderslot"/>
    <s v="Slot"/>
    <s v="Q.W.A. van der Slot"/>
    <s v="Kuno"/>
    <x v="62"/>
    <s v="Spruitstuk"/>
    <s v="Niels Marck"/>
    <d v="1993-12-08T00:00:00"/>
    <s v="Nederlandse"/>
    <s v="M"/>
    <s v="'s-Gravendamseweg 61 a"/>
    <s v="2211 WH NOORDWIJKERHOUT"/>
    <s v="Nederland"/>
    <s v="kunovdslot@hotmail.com"/>
    <n v="-643204581"/>
    <n v="2013"/>
    <x v="1"/>
    <m/>
  </r>
  <r>
    <x v="1"/>
    <n v="4322843"/>
    <s v="hbashir"/>
    <s v="Bashir"/>
    <s v="H.Q. Bashir"/>
    <s v="Haroen"/>
    <x v="63"/>
    <s v="Spruitstuk"/>
    <s v="Niels Marck"/>
    <d v="1995-03-16T00:00:00"/>
    <s v="Nederlandse"/>
    <s v="M"/>
    <s v="Oostzeedijk Beneden 233 D"/>
    <s v="3061 VW ROTTERDAM"/>
    <s v="Nederland"/>
    <s v="hqbashir@gmail.com"/>
    <n v="-634269974"/>
    <n v="2013"/>
    <x v="1"/>
    <m/>
  </r>
  <r>
    <x v="1"/>
    <n v="4269179"/>
    <s v="ieldoori"/>
    <s v="Doori"/>
    <s v="I. El Doori"/>
    <s v="Isa"/>
    <x v="63"/>
    <s v="Spruitstuk"/>
    <s v="Niels Marck"/>
    <d v="1995-05-17T00:00:00"/>
    <s v="Nederlandse"/>
    <s v="M"/>
    <s v="Rembrandtlaan 98"/>
    <s v="3117 VR SCHIEDAM"/>
    <s v="Nederland"/>
    <s v="eldoori.isa@gmail.com"/>
    <n v="-614965707"/>
    <n v="2013"/>
    <x v="1"/>
    <m/>
  </r>
  <r>
    <x v="1"/>
    <n v="4223055"/>
    <s v="gtenhave"/>
    <s v="Have"/>
    <s v="G. ten Have"/>
    <s v="Geert"/>
    <x v="63"/>
    <s v="Spruitstuk"/>
    <s v="Niels Marck"/>
    <d v="1994-02-16T00:00:00"/>
    <s v="Nederlandse"/>
    <s v="M"/>
    <s v="Esstraat 27"/>
    <s v="7131 CT LICHTENVOORDE"/>
    <s v="Nederland"/>
    <s v="geert_have@hotmail.com"/>
    <n v="-657224024"/>
    <n v="2012"/>
    <x v="2"/>
    <m/>
  </r>
  <r>
    <x v="1"/>
    <n v="4288548"/>
    <s v="solde"/>
    <s v="Olde"/>
    <s v="S.A. Olde"/>
    <s v="Stephan"/>
    <x v="63"/>
    <s v="Spruitstuk"/>
    <s v="Niels Marck"/>
    <d v="1995-06-08T00:00:00"/>
    <s v="Nederlandse"/>
    <s v="M"/>
    <s v="Willemstraat 253 a"/>
    <s v="2983 ET RIDDERKERK"/>
    <s v="Nederland"/>
    <s v="stephan-olde@hotmail.com"/>
    <n v="-630807375"/>
    <n v="2013"/>
    <x v="1"/>
    <m/>
  </r>
  <r>
    <x v="1"/>
    <n v="4317874"/>
    <s v="dylanspel"/>
    <s v="Spel"/>
    <s v="D. Spel"/>
    <s v="Dylan"/>
    <x v="63"/>
    <s v="Spruitstuk"/>
    <s v="Niels Marck"/>
    <d v="1995-09-23T00:00:00"/>
    <s v="Nederlandse"/>
    <s v="M"/>
    <s v="Turpijnpad 2"/>
    <s v="3077 NR ROTTERDAM"/>
    <s v="Nederland"/>
    <s v="dylan.spel95@gmail.com"/>
    <n v="-648513901"/>
    <n v="2013"/>
    <x v="1"/>
    <m/>
  </r>
  <r>
    <x v="1"/>
    <n v="4244117"/>
    <s v="itamturk"/>
    <s v="Tamtürk"/>
    <s v="I. Tamtürk"/>
    <s v="Ilkay"/>
    <x v="63"/>
    <s v="Spruitstuk"/>
    <s v="Niels Marck"/>
    <d v="1993-01-12T00:00:00"/>
    <s v="Nederlandse"/>
    <s v="M"/>
    <s v="Meranti 247"/>
    <s v="3315 TW DORDRECHT"/>
    <s v="Nederland"/>
    <s v="ilkay.50@live.nl"/>
    <n v="-681457181"/>
    <n v="2012"/>
    <x v="10"/>
    <m/>
  </r>
  <r>
    <x v="1"/>
    <n v="4272099"/>
    <s v="jimtijdgat"/>
    <s v="Tijdgat"/>
    <s v="J. Tijdgat"/>
    <s v="Jim"/>
    <x v="63"/>
    <s v="Spruitstuk"/>
    <s v="Niels Marck"/>
    <d v="1994-10-31T00:00:00"/>
    <s v="Nederlandse"/>
    <s v="M"/>
    <s v="Waterwerk 27"/>
    <s v="3063 HB ROTTERDAM"/>
    <s v="Nederland"/>
    <s v="jtijdgat@hotmail.com"/>
    <n v="-634323279"/>
    <n v="2013"/>
    <x v="1"/>
    <m/>
  </r>
  <r>
    <x v="1"/>
    <n v="4317858"/>
    <s v="mzoon"/>
    <s v="Zoon"/>
    <s v="M.A. Zoon"/>
    <s v="Marc"/>
    <x v="63"/>
    <s v="Spruitstuk"/>
    <s v="Niels Marck"/>
    <d v="1994-11-28T00:00:00"/>
    <s v="Nederlandse"/>
    <s v="M"/>
    <s v="Palissander 442"/>
    <s v="3315 MZ DORDRECHT"/>
    <s v="Nederland"/>
    <s v="marc@famzoon.nl"/>
    <n v="-634471736"/>
    <n v="2013"/>
    <x v="1"/>
    <m/>
  </r>
  <r>
    <x v="1"/>
    <n v="4207580"/>
    <s v="daanhaak"/>
    <s v="Haak"/>
    <s v="D. Haak"/>
    <s v="Daan"/>
    <x v="64"/>
    <s v="Spruitstuk"/>
    <s v="Job Mensen"/>
    <d v="1994-07-07T00:00:00"/>
    <s v="Nederlandse"/>
    <s v="M"/>
    <s v="Wildhage 8"/>
    <s v="4847 CR TETERINGEN"/>
    <s v="Nederland"/>
    <s v="daanhaak@hotmail.com"/>
    <n v="-652182653"/>
    <n v="2012"/>
    <x v="2"/>
    <m/>
  </r>
  <r>
    <x v="1"/>
    <n v="4312848"/>
    <s v="jhamm"/>
    <s v="Hamm"/>
    <s v="J.F.A. Hamm"/>
    <s v="Julian"/>
    <x v="64"/>
    <s v="Spruitstuk"/>
    <s v="Job Mensen"/>
    <d v="1995-07-07T00:00:00"/>
    <s v="Nederlandse"/>
    <s v="M"/>
    <s v="Singel 87"/>
    <s v="3311 PB DORDRECHT"/>
    <s v="Nederland"/>
    <s v="julian.hamm@hamm.nu"/>
    <n v="-631255931"/>
    <n v="2013"/>
    <x v="1"/>
    <m/>
  </r>
  <r>
    <x v="1"/>
    <n v="4234332"/>
    <s v="sabineheijnen"/>
    <s v="Heijnen"/>
    <s v="S. Heijnen"/>
    <s v="Sabine"/>
    <x v="64"/>
    <s v="Spruitstuk"/>
    <s v="Job Mensen"/>
    <d v="1992-06-28T00:00:00"/>
    <s v="Nederlandse"/>
    <s v="V"/>
    <s v="Herelsestraat 121"/>
    <s v="4726 AD HEERLE"/>
    <s v="Nederland"/>
    <s v="sabine_heijnen@hotmail.com"/>
    <n v="-652214895"/>
    <n v="2012"/>
    <x v="2"/>
    <m/>
  </r>
  <r>
    <x v="1"/>
    <n v="4284178"/>
    <s v="sterkuile"/>
    <s v="Kuile"/>
    <s v="S.P. ter Kuile"/>
    <s v="Stijn"/>
    <x v="64"/>
    <s v="Spruitstuk"/>
    <s v="Job Mensen"/>
    <d v="1993-10-07T00:00:00"/>
    <s v="Nederlandse"/>
    <s v="M"/>
    <s v="Bachlaan 34"/>
    <s v="1217 BX HILVERSUM"/>
    <s v="Nederland"/>
    <s v="stijntk@gmail.com"/>
    <n v="-623499507"/>
    <n v="2013"/>
    <x v="1"/>
    <m/>
  </r>
  <r>
    <x v="1"/>
    <n v="4223373"/>
    <s v="kkurian"/>
    <s v="Kurian"/>
    <s v="K.K. Kurian"/>
    <s v="Kevin"/>
    <x v="64"/>
    <s v="Spruitstuk"/>
    <s v="Job Mensen"/>
    <d v="1993-10-12T00:00:00"/>
    <s v="Nederlandse"/>
    <s v="M"/>
    <m/>
    <m/>
    <m/>
    <m/>
    <m/>
    <n v="2013"/>
    <x v="14"/>
    <m/>
  </r>
  <r>
    <x v="1"/>
    <n v="4272730"/>
    <s v="rpanhuyzen"/>
    <s v="Panhuyzen"/>
    <s v="R.J. Panhuyzen"/>
    <s v="Rogier"/>
    <x v="64"/>
    <s v="Spruitstuk"/>
    <s v="Job Mensen"/>
    <d v="1994-03-31T00:00:00"/>
    <s v="Nederlandse"/>
    <s v="M"/>
    <s v="Kapellenberglaan 51"/>
    <s v="6891 AC ROZENDAAL"/>
    <s v="Nederland"/>
    <s v="rogierpanhuyzen.au@gmail.com"/>
    <n v="-610732743"/>
    <n v="2013"/>
    <x v="1"/>
    <m/>
  </r>
  <r>
    <x v="1"/>
    <n v="4221605"/>
    <s v="tstinenbosch"/>
    <s v="Stinenbosch"/>
    <s v="D.T.B. Stinenbosch"/>
    <s v="Tobias"/>
    <x v="64"/>
    <s v="Spruitstuk"/>
    <s v="Job Mensen"/>
    <d v="1993-12-02T00:00:00"/>
    <s v="Nederlandse"/>
    <s v="M"/>
    <s v="Krommenhoekseweg 1"/>
    <s v="4365 NJ MELISKERKE"/>
    <s v="Nederland"/>
    <s v="t.stinen@gmail.com"/>
    <n v="-620906481"/>
    <n v="2012"/>
    <x v="2"/>
    <m/>
  </r>
  <r>
    <x v="1"/>
    <n v="4308492"/>
    <s v="jwolfhagen"/>
    <s v="Wolfhagen"/>
    <s v="J.C. Wolfhagen"/>
    <s v="Jasper"/>
    <x v="64"/>
    <s v="Spruitstuk"/>
    <s v="Job Mensen"/>
    <d v="1994-09-21T00:00:00"/>
    <s v="Nederlandse"/>
    <s v="M"/>
    <s v="Javalaan 9"/>
    <s v="1217 HD HILVERSUM"/>
    <s v="Nederland"/>
    <s v="jasperwolfhagen@gmail.com"/>
    <n v="-621364325"/>
    <n v="2013"/>
    <x v="1"/>
    <m/>
  </r>
  <r>
    <x v="1"/>
    <n v="4294394"/>
    <s v="iberkhout"/>
    <s v="Berkhout"/>
    <s v="I. Berkhout"/>
    <s v="Ian"/>
    <x v="65"/>
    <s v="Spruitstuk"/>
    <s v="Job Mensen"/>
    <d v="1995-05-16T00:00:00"/>
    <s v="Nederlandse"/>
    <s v="M"/>
    <s v="Sicilieboulevard 218"/>
    <s v="3059 XT ROTTERDAM"/>
    <s v="Nederland"/>
    <s v="ian.berkhout@gmail.com"/>
    <n v="-681618938"/>
    <n v="2013"/>
    <x v="1"/>
    <m/>
  </r>
  <r>
    <x v="1"/>
    <n v="4216652"/>
    <s v="lbraam"/>
    <s v="Braam"/>
    <s v="E.C. Braam"/>
    <s v="Lili"/>
    <x v="65"/>
    <s v="Spruitstuk"/>
    <s v="Job Mensen"/>
    <d v="1993-12-09T00:00:00"/>
    <s v="Nederlandse"/>
    <s v="V"/>
    <s v="Alligatorstraat 13"/>
    <s v="6532 AR NIJMEGEN"/>
    <s v="Nederland"/>
    <s v="lilibraam@hotmail.com"/>
    <n v="-622009716"/>
    <n v="2012"/>
    <x v="12"/>
    <m/>
  </r>
  <r>
    <x v="1"/>
    <n v="4276914"/>
    <s v="ferkelens"/>
    <s v="Erkelens"/>
    <s v="F.P. Erkelens"/>
    <s v="Folkert"/>
    <x v="65"/>
    <s v="Spruitstuk"/>
    <s v="Job Mensen"/>
    <d v="1995-04-07T00:00:00"/>
    <s v="Nederlandse"/>
    <s v="M"/>
    <s v="West Horrington 1"/>
    <s v="BA5 3ED Wells"/>
    <s v="Groot-Brittannië"/>
    <s v="folkert@erkelens.co.uk"/>
    <n v="-7768699436"/>
    <n v="2013"/>
    <x v="1"/>
    <m/>
  </r>
  <r>
    <x v="1"/>
    <n v="4229495"/>
    <s v="jprheemskerk"/>
    <s v="Heemskerk"/>
    <s v="J.P.R. Heemskerk"/>
    <s v="Jonathan"/>
    <x v="65"/>
    <s v="Spruitstuk"/>
    <s v="Job Mensen"/>
    <d v="1993-05-02T00:00:00"/>
    <s v="Nederlandse"/>
    <s v="M"/>
    <s v="Karekietlaan 6"/>
    <s v="2261 CK LEIDSCHENDAM"/>
    <s v="Nederland"/>
    <s v="jonyheemskerk@gmail.com"/>
    <n v="-616361392"/>
    <n v="2012"/>
    <x v="2"/>
    <m/>
  </r>
  <r>
    <x v="1"/>
    <n v="4226992"/>
    <s v="jkleinmentink"/>
    <s v="Klein Mentink"/>
    <s v="J. Klein Mentink"/>
    <s v="Jasper"/>
    <x v="65"/>
    <s v="Spruitstuk"/>
    <s v="Job Mensen"/>
    <d v="1994-05-19T00:00:00"/>
    <s v="Nederlandse"/>
    <s v="M"/>
    <s v="Papyruslaan 18"/>
    <s v="6866 CB HEELSUM"/>
    <s v="Nederland"/>
    <s v="jasperkm@live.nl"/>
    <n v="-640916572"/>
    <n v="2012"/>
    <x v="2"/>
    <m/>
  </r>
  <r>
    <x v="1"/>
    <n v="4303660"/>
    <s v="hkooistra"/>
    <s v="Kooistra"/>
    <s v="H. Kooistra"/>
    <s v="Hylke"/>
    <x v="65"/>
    <s v="Spruitstuk"/>
    <s v="Job Mensen"/>
    <d v="1994-01-31T00:00:00"/>
    <s v="Nederlandse"/>
    <s v="M"/>
    <s v="Buorren 8"/>
    <s v="9216 WD OUDEGA GEM SMALLINGERLND"/>
    <s v="Nederland"/>
    <s v="hylkekooistra@gmail.com"/>
    <n v="-657854655"/>
    <n v="2013"/>
    <x v="1"/>
    <m/>
  </r>
  <r>
    <x v="1"/>
    <n v="4299124"/>
    <s v="cpenning"/>
    <s v="Penning"/>
    <s v="C.L. Penning"/>
    <s v="Casper"/>
    <x v="65"/>
    <s v="Spruitstuk"/>
    <s v="Job Mensen"/>
    <d v="1995-09-06T00:00:00"/>
    <s v="Nederlandse"/>
    <s v="M"/>
    <s v="Bereklauw 87"/>
    <s v="1141 KL MONNICKENDAM"/>
    <s v="Nederland"/>
    <s v="casperpenning@msn.com"/>
    <n v="-650841153"/>
    <n v="2013"/>
    <x v="1"/>
    <m/>
  </r>
  <r>
    <x v="1"/>
    <n v="4329090"/>
    <s v="ezwolsman"/>
    <s v="Zwolsman"/>
    <s v="E.J. Zwolsman"/>
    <s v="Erwin"/>
    <x v="65"/>
    <s v="Spruitstuk"/>
    <s v="Job Mensen"/>
    <d v="1994-03-07T00:00:00"/>
    <s v="Nederlandse"/>
    <s v="M"/>
    <s v="Zwanebloem 4"/>
    <s v="3984 CK ODIJK"/>
    <s v="Nederland"/>
    <s v="erwin.zwolsman@gmail.com"/>
    <n v="-653377759"/>
    <n v="2013"/>
    <x v="1"/>
    <m/>
  </r>
  <r>
    <x v="1"/>
    <n v="4213815"/>
    <s v="jpealkemade"/>
    <s v="Alkemade"/>
    <s v="J.P.E. Alkemade"/>
    <s v="Joost"/>
    <x v="66"/>
    <s v="Spruitstuk"/>
    <s v="Nicky Mol"/>
    <d v="1994-02-10T00:00:00"/>
    <s v="Nederlandse"/>
    <s v="M"/>
    <s v="Beeklaan 284"/>
    <s v="2201 BP NOORDWIJK ZH"/>
    <s v="Nederland"/>
    <s v="joost_alkie@hotmail.com"/>
    <n v="-655758530"/>
    <n v="2012"/>
    <x v="2"/>
    <m/>
  </r>
  <r>
    <x v="1"/>
    <n v="4299752"/>
    <s v="jdebles"/>
    <s v="Bles"/>
    <s v="J.P. de Bles"/>
    <s v="Jasper"/>
    <x v="66"/>
    <s v="Spruitstuk"/>
    <s v="Nicky Mol"/>
    <d v="1994-02-01T00:00:00"/>
    <s v="Nederlandse"/>
    <s v="M"/>
    <s v="Pater Schiphorststraat 20 Daalmeer"/>
    <s v="1827 NN ALKMAAR"/>
    <s v="Nederland"/>
    <s v="jasper.de.bles@planet.nl"/>
    <n v="-640209565"/>
    <n v="2013"/>
    <x v="1"/>
    <m/>
  </r>
  <r>
    <x v="1"/>
    <n v="4293533"/>
    <s v="ljhvanderdrift"/>
    <s v="Drift"/>
    <s v="L.J.H. van der Drift"/>
    <s v="Luuk"/>
    <x v="66"/>
    <s v="Spruitstuk"/>
    <s v="Nicky Mol"/>
    <d v="1995-05-13T00:00:00"/>
    <s v="Nederlandse"/>
    <s v="M"/>
    <s v="Keenenburgweg 8"/>
    <s v="2636 GM SCHIPLUIDEN"/>
    <s v="Nederland"/>
    <s v="luuk_drift@hotmail.com"/>
    <n v="-653499710"/>
    <n v="2013"/>
    <x v="1"/>
    <m/>
  </r>
  <r>
    <x v="1"/>
    <n v="4206460"/>
    <s v="kvangool"/>
    <s v="Gool"/>
    <s v="K.J.F.C. van Gool"/>
    <s v="Kars"/>
    <x v="66"/>
    <s v="Spruitstuk"/>
    <s v="Nicky Mol"/>
    <d v="1993-12-04T00:00:00"/>
    <s v="Nederlandse"/>
    <s v="M"/>
    <s v="Overakkerstraat 256"/>
    <s v="4834 XR BREDA"/>
    <s v="Nederland"/>
    <s v="k.van.gool93@gmail.com"/>
    <n v="-614109406"/>
    <n v="2013"/>
    <x v="1"/>
    <m/>
  </r>
  <r>
    <x v="1"/>
    <n v="4333438"/>
    <s v="jdluijkx"/>
    <s v="Luijkx"/>
    <s v="J.D. Luijkx"/>
    <s v="Jelle"/>
    <x v="66"/>
    <s v="Spruitstuk"/>
    <s v="Nicky Mol"/>
    <d v="1995-04-24T00:00:00"/>
    <s v="Nederlandse"/>
    <s v="M"/>
    <s v="Rozendaalselaan 9 A"/>
    <s v="6881 KX VELP GLD"/>
    <s v="Nederland"/>
    <s v="jelleluijkx@hotmail.com"/>
    <n v="-611025850"/>
    <n v="2013"/>
    <x v="1"/>
    <m/>
  </r>
  <r>
    <x v="1"/>
    <n v="4311647"/>
    <s v="tvandeminkelis"/>
    <s v="Minkelis"/>
    <s v="G.T. van de Minkelis"/>
    <s v="Thijs"/>
    <x v="66"/>
    <s v="Spruitstuk"/>
    <s v="Nicky Mol"/>
    <d v="1993-12-13T00:00:00"/>
    <s v="Nederlandse"/>
    <s v="M"/>
    <s v="Dijkstraat 89"/>
    <s v="3904 DB VEENENDAAL"/>
    <s v="Nederland"/>
    <s v="thijs_van_de_minkelis@hotmail.com"/>
    <n v="-641941419"/>
    <n v="2013"/>
    <x v="1"/>
    <m/>
  </r>
  <r>
    <x v="1"/>
    <n v="4324323"/>
    <s v="jschots"/>
    <s v="Schots"/>
    <s v="J.F.A. Schots"/>
    <s v="Joost"/>
    <x v="66"/>
    <s v="Spruitstuk"/>
    <s v="Nicky Mol"/>
    <d v="1995-10-08T00:00:00"/>
    <s v="Nederlandse"/>
    <s v="M"/>
    <s v="Breitnerlaan 10"/>
    <s v="3582 HB UTRECHT"/>
    <s v="Nederland"/>
    <s v="joost.schots@gmail.com"/>
    <n v="-634478428"/>
    <n v="2013"/>
    <x v="1"/>
    <m/>
  </r>
  <r>
    <x v="1"/>
    <n v="4327144"/>
    <s v="abanchaew"/>
    <s v="Banchaew"/>
    <s v="A. Banchaew"/>
    <s v="Alichan"/>
    <x v="67"/>
    <s v="Spruitstuk"/>
    <s v="Nicky Mol"/>
    <d v="1990-05-15T00:00:00"/>
    <s v="Nederlandse"/>
    <s v="M"/>
    <s v="Ligusterlaan 145"/>
    <s v="7101 WT WINTERSWIJK"/>
    <s v="Nederland"/>
    <s v="alichanbanchaew@hotmail.com"/>
    <n v="-641893655"/>
    <n v="2013"/>
    <x v="1"/>
    <m/>
  </r>
  <r>
    <x v="1"/>
    <n v="4331206"/>
    <s v="jhjberendsen"/>
    <s v="Berendsen"/>
    <s v="J.H.J. Berendsen"/>
    <s v="Joost"/>
    <x v="67"/>
    <s v="Spruitstuk"/>
    <s v="Nicky Mol"/>
    <d v="1994-11-06T00:00:00"/>
    <s v="Nederlandse"/>
    <s v="M"/>
    <s v="de Kuinder 11"/>
    <s v="3448 DP WOERDEN"/>
    <s v="Nederland"/>
    <s v="joostberendsen@hotmail.com"/>
    <m/>
    <n v="2013"/>
    <x v="1"/>
    <m/>
  </r>
  <r>
    <x v="1"/>
    <n v="4230582"/>
    <s v="rmdekoning"/>
    <s v="de Koning"/>
    <s v="R. de Koning"/>
    <s v="Ramon"/>
    <x v="67"/>
    <s v="Spruitstuk"/>
    <s v="Nicky Mol"/>
    <d v="1994-01-26T00:00:00"/>
    <s v="Nederlandse"/>
    <s v="M"/>
    <m/>
    <m/>
    <m/>
    <s v="ramonk94@hotmail.com"/>
    <n v="31630727790"/>
    <n v="2013"/>
    <x v="1"/>
    <s v="voor 2e semester 2012 gestopt"/>
  </r>
  <r>
    <x v="1"/>
    <n v="4296702"/>
    <s v="lvanderplas"/>
    <s v="Plas"/>
    <s v="L.A. van der Plas"/>
    <s v="Leon"/>
    <x v="67"/>
    <s v="Spruitstuk"/>
    <s v="Nicky Mol"/>
    <d v="1995-05-29T00:00:00"/>
    <s v="Nederlandse"/>
    <s v="M"/>
    <s v="Oranjedam 52"/>
    <s v="2225 DR KATWIJK ZH"/>
    <s v="Nederland"/>
    <s v="leonplas4@hotmail.com"/>
    <n v="-622344148"/>
    <n v="2013"/>
    <x v="1"/>
    <m/>
  </r>
  <r>
    <x v="1"/>
    <n v="4302729"/>
    <s v="mvanpoelgeest"/>
    <s v="Poelgeest"/>
    <s v="M. van Poelgeest"/>
    <s v="Mick"/>
    <x v="67"/>
    <s v="Spruitstuk"/>
    <s v="Nicky Mol"/>
    <d v="1995-11-15T00:00:00"/>
    <s v="Nederlandse"/>
    <s v="M"/>
    <s v="Pelikaanhof 95"/>
    <s v="2264 JH LEIDSCHENDAM"/>
    <s v="Nederland"/>
    <s v="mickvpoelgeest@gmail.com"/>
    <n v="-638123814"/>
    <n v="2013"/>
    <x v="1"/>
    <m/>
  </r>
  <r>
    <x v="1"/>
    <n v="4205766"/>
    <s v="scaroelen"/>
    <s v="Roelen"/>
    <s v="S.C.A. Roelen"/>
    <s v="Stijn"/>
    <x v="67"/>
    <s v="Spruitstuk"/>
    <s v="Nicky Mol"/>
    <d v="1994-07-14T00:00:00"/>
    <s v="Nederlandse"/>
    <s v="M"/>
    <s v="Isaac da Costalaan 411"/>
    <s v="2624 ZC DELFT"/>
    <s v="Nederland"/>
    <s v="copyrightstijn@hotmail.com"/>
    <n v="-611761682"/>
    <n v="2012"/>
    <x v="2"/>
    <m/>
  </r>
  <r>
    <x v="1"/>
    <n v="4300793"/>
    <s v="jjkvansenden"/>
    <s v="Senden"/>
    <s v="J.J.K. van Senden"/>
    <s v="Jaap Jan"/>
    <x v="67"/>
    <s v="Spruitstuk"/>
    <s v="Nicky Mol"/>
    <d v="1995-10-06T00:00:00"/>
    <s v="Nederlandse"/>
    <s v="M"/>
    <s v="Ringvaartweg 184 A"/>
    <s v="3065 AG ROTTERDAM"/>
    <s v="Nederland"/>
    <s v="jaap-jan@xs4all.nl"/>
    <n v="-646661111"/>
    <n v="2013"/>
    <x v="1"/>
    <m/>
  </r>
  <r>
    <x v="1"/>
    <n v="4281497"/>
    <s v="bvanwezel"/>
    <s v="Wezel"/>
    <s v="B.S. van Wezel"/>
    <s v="Barend"/>
    <x v="67"/>
    <s v="Spruitstuk"/>
    <s v="Nicky Mol"/>
    <d v="1993-04-19T00:00:00"/>
    <s v="Nederlandse"/>
    <s v="M"/>
    <s v="Wittenburgerweg 5"/>
    <s v="2244 CA WASSENAAR"/>
    <s v="Nederland"/>
    <s v="bsvwezel@gmail.com"/>
    <n v="-623519280"/>
    <n v="2013"/>
    <x v="1"/>
    <m/>
  </r>
  <r>
    <x v="1"/>
    <n v="4307712"/>
    <s v="vbizot"/>
    <s v="Bizot"/>
    <s v="V. Bizot"/>
    <s v="Vigo"/>
    <x v="68"/>
    <s v="Spruitstuk"/>
    <s v="Koen Muller"/>
    <d v="1994-09-10T00:00:00"/>
    <s v="Nederlandse"/>
    <s v="M"/>
    <s v="Haydnlaan 7"/>
    <s v="1817 GN ALKMAAR"/>
    <s v="Nederland"/>
    <s v="vigo_bizot@live.nl"/>
    <n v="-648402949"/>
    <n v="2013"/>
    <x v="1"/>
    <m/>
  </r>
  <r>
    <x v="1"/>
    <n v="4237420"/>
    <s v="spgrootscholte"/>
    <s v="Grootscholten"/>
    <s v="S.P. Grootscholten"/>
    <s v="Sem"/>
    <x v="68"/>
    <s v="Spruitstuk"/>
    <s v="Koen Muller"/>
    <d v="1994-11-03T00:00:00"/>
    <s v="Nederlandse"/>
    <s v="M"/>
    <s v="Molenwerf 12"/>
    <s v="2635 JT DEN HOORN ZH"/>
    <s v="Nederland"/>
    <s v="mvanderven@live.nl"/>
    <n v="-630308196"/>
    <n v="2012"/>
    <x v="10"/>
    <m/>
  </r>
  <r>
    <x v="1"/>
    <n v="4137205"/>
    <s v="btgkoopmans"/>
    <s v="Koopmans"/>
    <s v="B.T.G. Koopmans"/>
    <s v="bram"/>
    <x v="68"/>
    <s v="Spruitstuk"/>
    <s v="Koen Muller"/>
    <d v="1992-10-01T00:00:00"/>
    <s v="Nederlandse"/>
    <s v="M"/>
    <s v="Breedstraat 6"/>
    <s v="5321 VN HEDEL"/>
    <s v="Nederland"/>
    <s v="btgkoopmans@gmail.com"/>
    <n v="-654987015"/>
    <n v="2011"/>
    <x v="10"/>
    <m/>
  </r>
  <r>
    <x v="1"/>
    <n v="4288254"/>
    <s v="devandermeer"/>
    <s v="Meer"/>
    <s v="D.E. van der Meer"/>
    <s v="David"/>
    <x v="68"/>
    <s v="Spruitstuk"/>
    <s v="Koen Muller"/>
    <d v="1994-07-05T00:00:00"/>
    <s v="Nederlandse"/>
    <s v="M"/>
    <s v="Zwarte Kijkerweg 61"/>
    <s v="7313 HA APELDOORN"/>
    <s v="Nederland"/>
    <s v="davidemeer@gmail.com"/>
    <n v="-623555250"/>
    <n v="2013"/>
    <x v="1"/>
    <m/>
  </r>
  <r>
    <x v="1"/>
    <n v="4318196"/>
    <s v="aoudijn"/>
    <s v="Oudijn"/>
    <s v="A. Oudijn"/>
    <s v="Arjan"/>
    <x v="68"/>
    <s v="Spruitstuk"/>
    <s v="Koen Muller"/>
    <d v="1995-05-24T00:00:00"/>
    <s v="Nederlandse"/>
    <s v="M"/>
    <s v="Windmolen 57"/>
    <s v="2986 TK RIDDERKERK"/>
    <s v="Nederland"/>
    <s v="arjan_oudijn@msn.com"/>
    <n v="-618401610"/>
    <n v="2013"/>
    <x v="1"/>
    <m/>
  </r>
  <r>
    <x v="1"/>
    <n v="4307437"/>
    <s v="tquadekker"/>
    <s v="Quadekker"/>
    <s v="T.F. Quadekker"/>
    <s v="Thomas"/>
    <x v="68"/>
    <s v="Spruitstuk"/>
    <s v="Koen Muller"/>
    <d v="1993-12-03T00:00:00"/>
    <s v="Nederlandse"/>
    <s v="M"/>
    <s v="Du Rieustraat 4"/>
    <s v="2313 GZ LEIDEN"/>
    <s v="Nederland"/>
    <s v="thomasq@casema.nl"/>
    <n v="-617113013"/>
    <n v="2013"/>
    <x v="1"/>
    <m/>
  </r>
  <r>
    <x v="1"/>
    <n v="4247205"/>
    <s v="lveringmeier"/>
    <s v="Veringmeier"/>
    <s v="L.Veringmeier"/>
    <s v="Lennard"/>
    <x v="68"/>
    <s v="Spruitstuk"/>
    <s v="Koen Muller"/>
    <d v="1994-06-30T00:00:00"/>
    <s v="Nederlandse"/>
    <s v="M"/>
    <m/>
    <m/>
    <m/>
    <s v="lennard.veringmeier@gmail.com"/>
    <n v="631953835"/>
    <n v="2013"/>
    <x v="1"/>
    <s v="voor 2e semester 2012 gestopt"/>
  </r>
  <r>
    <x v="1"/>
    <n v="4305434"/>
    <s v="racverstegen"/>
    <s v="Verstegen"/>
    <s v="R.A.C. Verstegen"/>
    <s v="René"/>
    <x v="68"/>
    <s v="Spruitstuk"/>
    <s v="Koen Muller"/>
    <d v="1994-09-14T00:00:00"/>
    <s v="Nederlandse"/>
    <s v="M"/>
    <s v="Hogeweg 21"/>
    <s v="5411 LP ZEELAND"/>
    <s v="Nederland"/>
    <s v="rene_ver@hotmail.com"/>
    <n v="-618859238"/>
    <n v="2013"/>
    <x v="1"/>
    <m/>
  </r>
  <r>
    <x v="1"/>
    <n v="4232585"/>
    <s v="ldania"/>
    <s v="Dania"/>
    <s v="L.R. Dania"/>
    <s v="Luigi"/>
    <x v="69"/>
    <s v="Spruitstuk"/>
    <s v="Koen Muller"/>
    <d v="1994-04-30T00:00:00"/>
    <s v="Nederlandse"/>
    <s v="M"/>
    <s v="Sabania Abao 25 J"/>
    <m/>
    <s v="Aruba"/>
    <s v="luigi_dania@hotmail.com"/>
    <n v="-5696628"/>
    <n v="2013"/>
    <x v="1"/>
    <m/>
  </r>
  <r>
    <x v="1"/>
    <n v="4227182"/>
    <s v="bggrashof"/>
    <s v="Grashof"/>
    <s v="B. Grashof"/>
    <s v="Bernd"/>
    <x v="69"/>
    <s v="Spruitstuk"/>
    <s v="Koen Muller"/>
    <d v="1993-06-11T00:00:00"/>
    <s v="Nederlandse"/>
    <s v="M"/>
    <m/>
    <m/>
    <m/>
    <s v="bernd.grashof@hotmail.com"/>
    <n v="615613156"/>
    <n v="2012"/>
    <x v="2"/>
    <m/>
  </r>
  <r>
    <x v="1"/>
    <n v="4253507"/>
    <s v="chaafkes"/>
    <s v="Haafkes"/>
    <s v="C. Haafkes"/>
    <s v="Coen"/>
    <x v="69"/>
    <s v="Spruitstuk"/>
    <s v="Koen Muller"/>
    <d v="1994-02-23T00:00:00"/>
    <s v="Nederlandse"/>
    <s v="M"/>
    <m/>
    <m/>
    <m/>
    <s v="c_haafkes@live.nl"/>
    <n v="648600482"/>
    <n v="2013"/>
    <x v="1"/>
    <s v="voor 2e semester 2012 gestopt"/>
  </r>
  <r>
    <x v="1"/>
    <n v="4304543"/>
    <s v="tvanheusden"/>
    <s v="Heusden"/>
    <s v="A.J.M. van Heusden"/>
    <s v="Toon"/>
    <x v="69"/>
    <s v="Spruitstuk"/>
    <s v="Koen Muller"/>
    <d v="1994-10-28T00:00:00"/>
    <s v="Nederlandse"/>
    <s v="M"/>
    <s v="Balistraat 45 B"/>
    <s v="2585 XL 'S-GRAVENHAGE"/>
    <s v="Nederland"/>
    <s v="heusdentoon@hotmail.com"/>
    <n v="-681082145"/>
    <n v="2013"/>
    <x v="1"/>
    <m/>
  </r>
  <r>
    <x v="1"/>
    <n v="4288769"/>
    <s v="ohiemstra"/>
    <s v="Hiemstra"/>
    <s v="O. Hiemstra"/>
    <s v="Olivier"/>
    <x v="69"/>
    <s v="Spruitstuk"/>
    <s v="Koen Muller"/>
    <d v="1995-08-09T00:00:00"/>
    <s v="Nederlandse"/>
    <s v="M"/>
    <s v="Van Cittersstraat 39 B"/>
    <s v="3022 LG ROTTERDAM"/>
    <s v="Nederland"/>
    <s v="olivier_hiemstra@hotmail.com"/>
    <n v="-7039050427"/>
    <n v="2013"/>
    <x v="1"/>
    <m/>
  </r>
  <r>
    <x v="1"/>
    <n v="4296478"/>
    <s v="gfmjacobs"/>
    <s v="Jacobs"/>
    <s v="G.F.M. Jacobs"/>
    <s v="Guilio"/>
    <x v="69"/>
    <s v="Spruitstuk"/>
    <s v="Koen Muller"/>
    <d v="1994-10-30T00:00:00"/>
    <s v="Nederlandse"/>
    <s v="M"/>
    <s v="Lisdoddekreek 12"/>
    <s v="2353 JR LEIDERDORP"/>
    <s v="Nederland"/>
    <s v="guilio_jacobs@hotmail.nl"/>
    <n v="-617596258"/>
    <n v="2013"/>
    <x v="1"/>
    <m/>
  </r>
  <r>
    <x v="1"/>
    <n v="4289927"/>
    <s v="tlscheffers"/>
    <s v="Scheffers"/>
    <s v="T.L. Scheffers"/>
    <s v="Tom"/>
    <x v="69"/>
    <s v="Spruitstuk"/>
    <s v="Koen Muller"/>
    <d v="1995-07-31T00:00:00"/>
    <s v="Nederlandse"/>
    <s v="M"/>
    <s v="Nicolaas Beetslaan 19"/>
    <s v="3743 HL BAARN"/>
    <s v="Nederland"/>
    <s v="tomscheffers_99@hotmail.com"/>
    <m/>
    <n v="2013"/>
    <x v="1"/>
    <m/>
  </r>
  <r>
    <x v="1"/>
    <n v="4297725"/>
    <s v="guvenaydin"/>
    <s v="Aydin"/>
    <s v="G. Aydin"/>
    <s v="Güven"/>
    <x v="70"/>
    <s v="Spruitstuk"/>
    <s v="Tijn van Omme"/>
    <d v="1995-03-26T00:00:00"/>
    <s v="Nederlandse"/>
    <s v="M"/>
    <s v="Jan van Avennesstraat 21 d"/>
    <s v="3021 RM ROTTERDAM"/>
    <s v="Nederland"/>
    <s v="g.aydin1995@gmail.com"/>
    <n v="-619953224"/>
    <n v="2013"/>
    <x v="1"/>
    <m/>
  </r>
  <r>
    <x v="1"/>
    <n v="4300181"/>
    <s v="mgritter"/>
    <s v="Gritter"/>
    <s v="M. Gritter"/>
    <s v="Marc"/>
    <x v="70"/>
    <s v="Spruitstuk"/>
    <s v="Tijn van Omme"/>
    <d v="1995-08-29T00:00:00"/>
    <s v="Nederlandse"/>
    <s v="M"/>
    <s v="Anna van Saksenstraat 13"/>
    <s v="1814 JG ALKMAAR"/>
    <s v="Nederland"/>
    <s v="m.gritter@live.nl"/>
    <n v="-634423195"/>
    <n v="2013"/>
    <x v="1"/>
    <m/>
  </r>
  <r>
    <x v="1"/>
    <n v="4316568"/>
    <s v="taekedehaan"/>
    <s v="Haan"/>
    <s v="T. de Haan"/>
    <s v="Taeke"/>
    <x v="70"/>
    <s v="Spruitstuk"/>
    <s v="Tijn van Omme"/>
    <d v="1995-06-24T00:00:00"/>
    <s v="Nederlandse"/>
    <s v="M"/>
    <s v="Breedveldsingel 104"/>
    <s v="3055 PL ROTTERDAM"/>
    <s v="Nederland"/>
    <s v="taeke.dehaan@live.nl"/>
    <n v="-618116236"/>
    <n v="2013"/>
    <x v="1"/>
    <m/>
  </r>
  <r>
    <x v="1"/>
    <n v="4284143"/>
    <s v="sfdjonker"/>
    <s v="Jonker"/>
    <s v="S.F.D. Jonker"/>
    <s v="Sebastiaan"/>
    <x v="70"/>
    <s v="Spruitstuk"/>
    <s v="Tijn van Omme"/>
    <d v="1994-01-03T00:00:00"/>
    <s v="Nederlandse"/>
    <s v="M"/>
    <s v="Goosse van der Windstr 28"/>
    <s v="3062 XM ROTTERDAM"/>
    <s v="Nederland"/>
    <s v="sebastiaan@solidus.demon.nl"/>
    <n v="-612730269"/>
    <n v="2013"/>
    <x v="1"/>
    <m/>
  </r>
  <r>
    <x v="1"/>
    <n v="4285042"/>
    <s v="ekuyt"/>
    <s v="Kuyt"/>
    <s v="E.R. Kuyt"/>
    <s v="Enno"/>
    <x v="70"/>
    <s v="Spruitstuk"/>
    <s v="Tijn van Omme"/>
    <d v="1995-06-19T00:00:00"/>
    <s v="Nederlandse"/>
    <s v="M"/>
    <s v="Schellinglaan 21"/>
    <s v="2271 VD VOORBURG"/>
    <s v="Nederland"/>
    <s v="enno.kuyt@hotmail.com"/>
    <n v="-681707916"/>
    <n v="2013"/>
    <x v="1"/>
    <m/>
  </r>
  <r>
    <x v="1"/>
    <n v="4229290"/>
    <s v="jjdmulder"/>
    <s v="Mulder"/>
    <s v="J.J.D. Mulder"/>
    <s v="Justin"/>
    <x v="70"/>
    <s v="Spruitstuk"/>
    <s v="Tijn van Omme"/>
    <d v="1993-02-11T00:00:00"/>
    <s v="Nederlandse"/>
    <s v="M"/>
    <s v="Zevenenderdrift 57"/>
    <s v="1251 RB LAREN NH"/>
    <s v="Nederland"/>
    <s v="justin_mulder432@hotmail.com"/>
    <n v="-646153857"/>
    <n v="2012"/>
    <x v="19"/>
    <m/>
  </r>
  <r>
    <x v="1"/>
    <n v="4299787"/>
    <s v="jvanniekerk"/>
    <s v="Niekerk"/>
    <s v="J.R. Van Niekerk"/>
    <s v="Joshua"/>
    <x v="70"/>
    <s v="Spruitstuk"/>
    <s v="Tijn van Omme"/>
    <d v="1995-09-26T00:00:00"/>
    <s v="Nederlandse"/>
    <s v="M"/>
    <s v="Koningin Julianaweg 97"/>
    <s v="2264 BC LEIDSCHENDAM"/>
    <s v="Nederland"/>
    <s v="jvniekerk@hotmail.com"/>
    <n v="-681755677"/>
    <n v="2013"/>
    <x v="1"/>
    <m/>
  </r>
  <r>
    <x v="1"/>
    <n v="4323955"/>
    <s v="mdepont"/>
    <s v="Pont"/>
    <s v="M.H.M. de Pont"/>
    <s v="Mike"/>
    <x v="70"/>
    <s v="Spruitstuk"/>
    <s v="Tijn van Omme"/>
    <d v="1995-06-26T00:00:00"/>
    <s v="Nederlandse"/>
    <s v="M"/>
    <s v="Europalaan 84"/>
    <s v="5531 BJ BLADEL"/>
    <s v="Nederland"/>
    <s v="m.depont@hotmail.com"/>
    <m/>
    <n v="2013"/>
    <x v="1"/>
    <m/>
  </r>
  <r>
    <x v="1"/>
    <n v="4316932"/>
    <s v="tcbooij"/>
    <s v="Booij"/>
    <s v="T.C. Booij"/>
    <s v="Thomas"/>
    <x v="71"/>
    <s v="Differentieel"/>
    <s v="Tijn van Omme"/>
    <d v="1995-02-02T00:00:00"/>
    <s v="Nederlandse"/>
    <s v="M"/>
    <s v="Hyacintenlaan 19"/>
    <s v="1215 BA HILVERSUM"/>
    <s v="Nederland"/>
    <s v="thomas.booij@hotmail.com"/>
    <n v="-624971772"/>
    <n v="2013"/>
    <x v="1"/>
    <m/>
  </r>
  <r>
    <x v="1"/>
    <n v="4205529"/>
    <s v="dbouwens"/>
    <s v="Bouwens"/>
    <s v="D. Bouwens"/>
    <s v="Daisy"/>
    <x v="71"/>
    <s v="Differentieel"/>
    <s v="Tijn van Omme"/>
    <d v="1994-01-05T00:00:00"/>
    <s v="Nederlandse"/>
    <s v="V"/>
    <s v="Hulsdonksestraat 128"/>
    <s v="4708 AD ROOSENDAAL"/>
    <s v="Nederland"/>
    <s v="deesjedeesje@hotmail.com"/>
    <n v="-612534281"/>
    <n v="2012"/>
    <x v="2"/>
    <m/>
  </r>
  <r>
    <x v="1"/>
    <n v="4315537"/>
    <s v="bvanesser"/>
    <s v="Esser"/>
    <s v="B.T.M. van Esser"/>
    <s v="Beer"/>
    <x v="71"/>
    <s v="Differentieel"/>
    <s v="Tijn van Omme"/>
    <d v="1993-08-01T00:00:00"/>
    <s v="Nederlandse"/>
    <s v="M"/>
    <s v="Rijksweg 100 A"/>
    <s v="7011 EB GAANDEREN"/>
    <s v="Nederland"/>
    <s v="beervanesser@gmail.com"/>
    <n v="-612721714"/>
    <n v="2013"/>
    <x v="1"/>
    <m/>
  </r>
  <r>
    <x v="1"/>
    <n v="4234227"/>
    <s v="sfvanhouten"/>
    <s v="Houten"/>
    <s v="S.F. van Houten"/>
    <s v="Sam"/>
    <x v="71"/>
    <s v="Differentieel"/>
    <s v="Tijn van Omme"/>
    <d v="1994-05-23T00:00:00"/>
    <s v="Nederlandse"/>
    <s v="M"/>
    <s v="Oranje Plantage 46"/>
    <s v="2611 TL DELFT"/>
    <s v="Nederland"/>
    <s v="s.f.van.houten@gmail.com"/>
    <n v="-638143599"/>
    <n v="2012"/>
    <x v="12"/>
    <m/>
  </r>
  <r>
    <x v="1"/>
    <n v="4331354"/>
    <s v="ukalkan"/>
    <s v="Kalkan"/>
    <s v="U.M.F. Kalkan"/>
    <s v="Umut"/>
    <x v="71"/>
    <s v="Differentieel"/>
    <s v="Tijn van Omme"/>
    <d v="1993-12-06T00:00:00"/>
    <s v="Nederlandse"/>
    <s v="M"/>
    <s v="Westergosingel 47"/>
    <s v="2548 NX 'S-GRAVENHAGE"/>
    <s v="Nederland"/>
    <s v="umut.kalkan@live.nl"/>
    <n v="-613474124"/>
    <n v="2013"/>
    <x v="1"/>
    <m/>
  </r>
  <r>
    <x v="1"/>
    <n v="4228650"/>
    <s v="mlaban"/>
    <s v="Laban"/>
    <s v="M.P. Laban"/>
    <s v="Maarten"/>
    <x v="71"/>
    <s v="Differentieel"/>
    <s v="Tijn van Omme"/>
    <d v="1993-02-15T00:00:00"/>
    <s v="Nederlandse"/>
    <s v="M"/>
    <s v="Emmalaan 12"/>
    <s v="3581 HT UTRECHT"/>
    <s v="Nederland"/>
    <s v="mlaban@planet.nl"/>
    <n v="-640860548"/>
    <n v="2012"/>
    <x v="12"/>
    <m/>
  </r>
  <r>
    <x v="1"/>
    <n v="4285670"/>
    <s v="blaninga"/>
    <s v="Laninga"/>
    <s v="B.M. Laninga"/>
    <s v="Bern"/>
    <x v="71"/>
    <s v="Differentieel"/>
    <s v="Tijn van Omme"/>
    <d v="1995-04-21T00:00:00"/>
    <s v="Nederlandse"/>
    <s v="M"/>
    <s v="De Sikkel 5"/>
    <s v="7908 NG HOOGEVEEN"/>
    <s v="Nederland"/>
    <s v="bernlaninga@hotmail.com"/>
    <n v="-624858569"/>
    <n v="2013"/>
    <x v="1"/>
    <m/>
  </r>
  <r>
    <x v="1"/>
    <n v="4302931"/>
    <s v="rveeger"/>
    <s v="Veeger"/>
    <s v="R.P.E. Veeger"/>
    <s v="Robin"/>
    <x v="71"/>
    <s v="Differentieel"/>
    <s v="Tijn van Omme"/>
    <d v="1995-04-23T00:00:00"/>
    <s v="Nederlandse"/>
    <s v="M"/>
    <s v="Leidsevaart 11"/>
    <s v="2161 AR LISSE"/>
    <s v="Nederland"/>
    <s v="robinveeger@hotmail.com"/>
    <n v="-642599864"/>
    <n v="2013"/>
    <x v="1"/>
    <m/>
  </r>
  <r>
    <x v="1"/>
    <n v="4281918"/>
    <s v="derbeek"/>
    <s v="Beek"/>
    <s v="D.E.R. Beek"/>
    <s v="Django"/>
    <x v="72"/>
    <s v="Differentieel"/>
    <s v="Sten Ouborg"/>
    <d v="1995-01-17T00:00:00"/>
    <s v="Nederlandse"/>
    <s v="M"/>
    <s v="Van Ledenberchstraat 10"/>
    <s v="2334 AT LEIDEN"/>
    <s v="Nederland"/>
    <s v="djangobeek@live.nl"/>
    <n v="-654367910"/>
    <n v="2013"/>
    <x v="1"/>
    <m/>
  </r>
  <r>
    <x v="1"/>
    <n v="4311019"/>
    <s v="stefbeijk"/>
    <s v="Beijk"/>
    <s v="S. Beijk"/>
    <s v="Stef"/>
    <x v="72"/>
    <s v="Differentieel"/>
    <s v="Sten Ouborg"/>
    <d v="1995-06-09T00:00:00"/>
    <s v="Nederlandse"/>
    <s v="M"/>
    <s v="Oostvlietstraat 38"/>
    <s v="2271 RK VOORBURG"/>
    <s v="Nederland"/>
    <s v="stef_beijk@live.nl"/>
    <n v="-630629779"/>
    <n v="2013"/>
    <x v="1"/>
    <m/>
  </r>
  <r>
    <x v="1"/>
    <n v="4129873"/>
    <s v="keesdejong"/>
    <s v="de Jong"/>
    <s v="K. de Jong"/>
    <s v="Kees"/>
    <x v="72"/>
    <s v="Differentieel"/>
    <s v="Sten Ouborg"/>
    <d v="1988-01-14T00:00:00"/>
    <s v="Nederlandse"/>
    <s v="M"/>
    <m/>
    <m/>
    <m/>
    <s v="K.deJong@student.tudelft.nl"/>
    <m/>
    <n v="2010"/>
    <x v="10"/>
    <m/>
  </r>
  <r>
    <x v="1"/>
    <n v="4315480"/>
    <s v="fvanemmerik"/>
    <s v="Emmerik"/>
    <s v="F.J.F. van Emmerik"/>
    <s v="Floor van Emmer"/>
    <x v="72"/>
    <s v="Differentieel"/>
    <s v="Sten Ouborg"/>
    <d v="1994-11-03T00:00:00"/>
    <s v="Nederlandse"/>
    <s v="V"/>
    <s v="Bosstraat 7"/>
    <s v="6015 AK NEERITTER"/>
    <s v="Nederland"/>
    <s v="floorke@gmail.com"/>
    <n v="-642861977"/>
    <n v="2013"/>
    <x v="1"/>
    <m/>
  </r>
  <r>
    <x v="1"/>
    <n v="4330277"/>
    <s v="lkrijgsman"/>
    <s v="Krijgsman"/>
    <s v="L.E. Krijgsman"/>
    <s v="Laurens"/>
    <x v="72"/>
    <s v="Differentieel"/>
    <s v="Sten Ouborg"/>
    <d v="1995-03-14T00:00:00"/>
    <s v="Nederlandse"/>
    <s v="M"/>
    <s v="Rijnsteeg 1"/>
    <s v="3958 NC AMERONGEN"/>
    <s v="Nederland"/>
    <s v="laurens_krijgsman@hotmail.com"/>
    <n v="-611506330"/>
    <n v="2013"/>
    <x v="1"/>
    <m/>
  </r>
  <r>
    <x v="1"/>
    <n v="4319354"/>
    <s v="nsaouti"/>
    <s v="Saouti"/>
    <s v="N. Saouti"/>
    <s v="Nouaman"/>
    <x v="72"/>
    <s v="Differentieel"/>
    <s v="Sten Ouborg"/>
    <d v="1994-06-26T00:00:00"/>
    <s v="Nederlandse"/>
    <s v="M"/>
    <s v="Vondelpark 55"/>
    <s v="3842 GP HARDERWIJK"/>
    <s v="Nederland"/>
    <s v="noemie1400@hotmail.com"/>
    <n v="-611760055"/>
    <n v="2013"/>
    <x v="1"/>
    <m/>
  </r>
  <r>
    <x v="1"/>
    <n v="4195981"/>
    <s v="sstouten"/>
    <s v="Stouten"/>
    <s v="S.A. Stouten"/>
    <s v="Simon"/>
    <x v="72"/>
    <s v="Differentieel"/>
    <s v="Sten Ouborg"/>
    <d v="1994-03-04T00:00:00"/>
    <s v="Nederlandse"/>
    <s v="M"/>
    <s v="Eduard van Beinumlaan 33"/>
    <s v="2343 MN OEGSTGEEST"/>
    <s v="Nederland"/>
    <s v="simonstouten@hotmail.com"/>
    <n v="-649691222"/>
    <n v="2012"/>
    <x v="2"/>
    <m/>
  </r>
  <r>
    <x v="1"/>
    <n v="4294378"/>
    <s v="hmvanderwal"/>
    <s v="Wal"/>
    <s v="H.M. van der Wal"/>
    <s v="Mark"/>
    <x v="72"/>
    <s v="Differentieel"/>
    <s v="Sten Ouborg"/>
    <d v="1991-04-02T00:00:00"/>
    <s v="Nederlandse"/>
    <s v="M"/>
    <s v="Zijveling 4"/>
    <s v="4032 NT OMMEREN"/>
    <s v="Nederland"/>
    <s v="markvandewal@live.nl"/>
    <n v="-624901826"/>
    <n v="2013"/>
    <x v="1"/>
    <m/>
  </r>
  <r>
    <x v="1"/>
    <n v="4223764"/>
    <s v="cedekker"/>
    <s v="Dekker"/>
    <s v="C.E. Dekker"/>
    <s v="Christopher"/>
    <x v="73"/>
    <s v="Differentieel"/>
    <s v="Sten Ouborg"/>
    <d v="1992-09-12T00:00:00"/>
    <s v="Nederlandse"/>
    <s v="M"/>
    <s v="Huyterstraat 6"/>
    <s v="2611 EL DELFT"/>
    <s v="Nederland"/>
    <s v="ce.dekker@hotmail.com"/>
    <n v="-655861161"/>
    <n v="2012"/>
    <x v="2"/>
    <m/>
  </r>
  <r>
    <x v="1"/>
    <n v="4295854"/>
    <s v="rjhaan"/>
    <s v="Haan"/>
    <s v="R.J. Haan"/>
    <s v="Rutger"/>
    <x v="73"/>
    <s v="Differentieel"/>
    <s v="Sten Ouborg"/>
    <d v="1994-06-25T00:00:00"/>
    <s v="Nederlandse"/>
    <s v="M"/>
    <s v="Im Ring 10"/>
    <s v="8126 Zumikon"/>
    <s v="Zwitserland"/>
    <s v="rutgerjoost@gmail.com"/>
    <n v="-789203301"/>
    <n v="2013"/>
    <x v="1"/>
    <m/>
  </r>
  <r>
    <x v="1"/>
    <n v="4304284"/>
    <s v="ghorasiccama"/>
    <s v="Hora Siccama"/>
    <s v="G.S. Hora Siccama"/>
    <s v="Gijs"/>
    <x v="73"/>
    <s v="Differentieel"/>
    <s v="Sten Ouborg"/>
    <d v="1994-06-08T00:00:00"/>
    <s v="Nederlandse"/>
    <s v="M"/>
    <s v="Van Montfoortlaan 3"/>
    <s v="2596 SN 'S-GRAVENHAGE"/>
    <s v="Nederland"/>
    <s v="horasiccama@ziggo.nl"/>
    <n v="-646102176"/>
    <n v="2013"/>
    <x v="1"/>
    <m/>
  </r>
  <r>
    <x v="1"/>
    <n v="4304764"/>
    <s v="maccvandenhurk"/>
    <s v="Hurk"/>
    <s v="M.A.C.C. van den Hurk"/>
    <s v="Maurits"/>
    <x v="73"/>
    <s v="Differentieel"/>
    <s v="Sten Ouborg"/>
    <d v="1995-08-11T00:00:00"/>
    <s v="Nederlandse"/>
    <s v="M"/>
    <s v="Lindenlaan 7"/>
    <s v="3707 EN ZEIST"/>
    <s v="Nederland"/>
    <s v="maurie_95@hotmail.com"/>
    <n v="-612112588"/>
    <n v="2013"/>
    <x v="1"/>
    <m/>
  </r>
  <r>
    <x v="1"/>
    <n v="4286960"/>
    <s v="jkoreman"/>
    <s v="Koreman"/>
    <s v="J.R. Koreman"/>
    <s v="Job"/>
    <x v="73"/>
    <s v="Differentieel"/>
    <s v="Sten Ouborg"/>
    <d v="1994-02-08T00:00:00"/>
    <s v="Nederlandse"/>
    <s v="M"/>
    <s v="Multatulistraat 7"/>
    <s v="7204 DA ZUTPHEN"/>
    <s v="Nederland"/>
    <s v="job_koreman@hotmail.com"/>
    <n v="-619489082"/>
    <n v="2013"/>
    <x v="1"/>
    <m/>
  </r>
  <r>
    <x v="1"/>
    <n v="4332016"/>
    <s v="gramsoekh"/>
    <s v="Ramsoekh"/>
    <s v="G.K.S. Ramsoekh"/>
    <s v="Gyaan"/>
    <x v="73"/>
    <s v="Differentieel"/>
    <s v="Sten Ouborg"/>
    <d v="1996-02-13T00:00:00"/>
    <s v="Nederlandse"/>
    <s v="M"/>
    <s v="Marian Gobiushof 11"/>
    <s v="2272 TS VOORBURG"/>
    <s v="Nederland"/>
    <s v="gyaanramsoekh@hotmail.com"/>
    <n v="-634568962"/>
    <n v="2013"/>
    <x v="1"/>
    <m/>
  </r>
  <r>
    <x v="1"/>
    <n v="4330919"/>
    <s v="calvinvenema"/>
    <s v="Venema"/>
    <s v="C. Venema"/>
    <s v="Calvin"/>
    <x v="73"/>
    <s v="Differentieel"/>
    <s v="Sten Ouborg"/>
    <d v="1994-11-18T00:00:00"/>
    <s v="Nederlandse"/>
    <s v="M"/>
    <s v="Van Polanenpark 39"/>
    <s v="2241 SE WASSENAAR"/>
    <s v="Nederland"/>
    <s v="calvin_venema@hotmail.com"/>
    <n v="-628593281"/>
    <n v="2013"/>
    <x v="1"/>
    <m/>
  </r>
  <r>
    <x v="1"/>
    <n v="4266986"/>
    <s v="gwieme"/>
    <s v="Wieme"/>
    <s v="G.K. Wieme"/>
    <s v="Glenn"/>
    <x v="73"/>
    <s v="Differentieel"/>
    <s v="Sten Ouborg"/>
    <d v="1994-03-31T00:00:00"/>
    <s v="Nederlandse"/>
    <s v="M"/>
    <s v="Bernard Zweerslaan 23"/>
    <s v="4536 EK TERNEUZEN"/>
    <s v="Nederland"/>
    <s v="glennwieme_010@hotmail.com"/>
    <n v="-622465167"/>
    <n v="2013"/>
    <x v="1"/>
    <m/>
  </r>
  <r>
    <x v="1"/>
    <n v="4312198"/>
    <s v="jjvanderham"/>
    <s v="Ham"/>
    <s v="J.J. van der Ham"/>
    <s v="Jochem"/>
    <x v="74"/>
    <s v="Differentieel"/>
    <s v="Berend Nootenboom"/>
    <d v="1995-09-02T00:00:00"/>
    <s v="Nederlandse"/>
    <s v="M"/>
    <s v="Beresteyn 3"/>
    <s v="2635 KG DEN HOORN ZH"/>
    <s v="Nederland"/>
    <s v="jochempieie@hotmail.com"/>
    <n v="-647834346"/>
    <n v="2013"/>
    <x v="1"/>
    <m/>
  </r>
  <r>
    <x v="1"/>
    <n v="4301218"/>
    <s v="roosklaassen"/>
    <s v="Klaassen"/>
    <s v="R. Klaassen"/>
    <s v="Roos"/>
    <x v="74"/>
    <s v="Differentieel"/>
    <s v="Berend Nootenboom"/>
    <d v="1994-07-28T00:00:00"/>
    <s v="Nederlandse"/>
    <s v="V"/>
    <s v="Bollenhofsestraat 184"/>
    <s v="3572 VW UTRECHT"/>
    <s v="Nederland"/>
    <s v="roos.klaassen@hotmail.com"/>
    <n v="-651967381"/>
    <n v="2013"/>
    <x v="1"/>
    <m/>
  </r>
  <r>
    <x v="1"/>
    <n v="4333837"/>
    <s v="rkolff"/>
    <s v="Kolff"/>
    <s v="S.R. Kolff"/>
    <s v="Reneke"/>
    <x v="74"/>
    <s v="Differentieel"/>
    <s v="Berend Nootenboom"/>
    <d v="1994-06-16T00:00:00"/>
    <s v="Nederlandse"/>
    <s v="M"/>
    <s v="Trompstraat 93"/>
    <s v="2518 BM 'S-GRAVENHAGE"/>
    <s v="Nederland"/>
    <s v="reneke_kolff@hotmail.com"/>
    <n v="-641033221"/>
    <n v="2013"/>
    <x v="1"/>
    <m/>
  </r>
  <r>
    <x v="1"/>
    <n v="4325117"/>
    <s v="clock"/>
    <s v="Lock"/>
    <s v="C.P. Lock"/>
    <s v="Christiaan"/>
    <x v="74"/>
    <s v="Differentieel"/>
    <s v="Berend Nootenboom"/>
    <d v="1995-07-21T00:00:00"/>
    <s v="Nederlandse"/>
    <s v="M"/>
    <s v="Brasemdaal 85"/>
    <s v="2553 NC 'S-GRAVENHAGE"/>
    <s v="Nederland"/>
    <s v="christiaanlock@live.nl"/>
    <n v="-651791153"/>
    <n v="2013"/>
    <x v="1"/>
    <m/>
  </r>
  <r>
    <x v="1"/>
    <n v="4301498"/>
    <s v="jemol"/>
    <s v="Mol"/>
    <s v="J.E. Mol"/>
    <s v="Jurgen"/>
    <x v="74"/>
    <s v="Differentieel"/>
    <s v="Berend Nootenboom"/>
    <d v="1995-02-05T00:00:00"/>
    <s v="Nederlandse"/>
    <s v="M"/>
    <s v="Clara's pad 45"/>
    <s v="4451 HB HEINKENSZAND"/>
    <s v="Nederland"/>
    <s v="jurgenmol@zeelandnet.nl"/>
    <n v="-622066815"/>
    <n v="2013"/>
    <x v="1"/>
    <m/>
  </r>
  <r>
    <x v="1"/>
    <n v="4263898"/>
    <s v="hjvanderwal"/>
    <s v="Wal"/>
    <s v="H.J. van der Wal"/>
    <s v="Hendrik"/>
    <x v="74"/>
    <s v="Differentieel"/>
    <s v="Berend Nootenboom"/>
    <d v="1992-06-27T00:00:00"/>
    <s v="Nederlandse"/>
    <s v="M"/>
    <m/>
    <m/>
    <m/>
    <m/>
    <s v="0638245639"/>
    <n v="2013"/>
    <x v="1"/>
    <m/>
  </r>
  <r>
    <x v="1"/>
    <n v="4320018"/>
    <s v="jvanderzaag"/>
    <s v="Zaag"/>
    <s v="J.D. van der Zaag"/>
    <s v="Jochem"/>
    <x v="74"/>
    <s v="Differentieel"/>
    <s v="Berend Nootenboom"/>
    <d v="1993-08-04T00:00:00"/>
    <s v="Nederlandse"/>
    <s v="M"/>
    <s v="Nieuwe Plantage 52"/>
    <s v="2611 XK DELFT"/>
    <s v="Nederland"/>
    <s v="jochemzaag@gmail.com"/>
    <n v="-630024735"/>
    <n v="2013"/>
    <x v="1"/>
    <m/>
  </r>
  <r>
    <x v="1"/>
    <n v="4323068"/>
    <s v="gfvanzijl"/>
    <s v="Zijl"/>
    <s v="G.F. van Zijl"/>
    <s v="Govert"/>
    <x v="74"/>
    <s v="Differentieel"/>
    <s v="Berend Nootenboom"/>
    <d v="1995-07-12T00:00:00"/>
    <s v="Nederlandse"/>
    <s v="M"/>
    <s v="Jansweg 69"/>
    <s v="2011 KM HAARLEM"/>
    <s v="Nederland"/>
    <s v="scoutgovert@hotmail.com"/>
    <n v="-622047446"/>
    <n v="2013"/>
    <x v="1"/>
    <m/>
  </r>
  <r>
    <x v="1"/>
    <n v="4311337"/>
    <s v="jhammerlaan"/>
    <s v="Ammerlaan"/>
    <s v="J.H. Ammerlaan"/>
    <s v="Jelle"/>
    <x v="75"/>
    <s v="Differentieel"/>
    <s v="Berend Nootenboom"/>
    <d v="1995-03-02T00:00:00"/>
    <s v="Nederlandse"/>
    <s v="M"/>
    <s v="Hofzoom 62"/>
    <s v="2614 VD DELFT"/>
    <s v="Nederland"/>
    <s v="jelle.ammerlaan@hotmail.com"/>
    <n v="-648085945"/>
    <n v="2013"/>
    <x v="1"/>
    <m/>
  </r>
  <r>
    <x v="1"/>
    <n v="4291832"/>
    <s v="jbargeman"/>
    <s v="Bargeman"/>
    <s v="J.C. Bargeman"/>
    <s v="Jan"/>
    <x v="75"/>
    <s v="Differentieel"/>
    <s v="Berend Nootenboom"/>
    <d v="1994-03-14T00:00:00"/>
    <s v="Nederlandse"/>
    <s v="M"/>
    <s v="Kapelstraat 20"/>
    <s v="6822 AV ARNHEM"/>
    <s v="Nederland"/>
    <s v="jan_bargeman@live.nl"/>
    <n v="-631356842"/>
    <n v="2013"/>
    <x v="1"/>
    <m/>
  </r>
  <r>
    <x v="1"/>
    <n v="4317955"/>
    <s v="jbender"/>
    <s v="Bender"/>
    <s v="J.J.B. Bender"/>
    <s v="Jj"/>
    <x v="75"/>
    <s v="Differentieel"/>
    <s v="Berend Nootenboom"/>
    <d v="1995-03-19T00:00:00"/>
    <s v="Nederlandse"/>
    <s v="M"/>
    <s v="Prinses Beatrixplantsoen 13"/>
    <s v="1402 TP BUSSUM"/>
    <s v="Nederland"/>
    <s v="jamiejanbender@gmail.com"/>
    <n v="-624529839"/>
    <n v="2013"/>
    <x v="1"/>
    <m/>
  </r>
  <r>
    <x v="1"/>
    <n v="4318714"/>
    <s v="jkruimer"/>
    <s v="Kruimer"/>
    <s v="J.A. Kruimer"/>
    <s v="Jonathan"/>
    <x v="75"/>
    <s v="Differentieel"/>
    <s v="Berend Nootenboom"/>
    <d v="1994-11-26T00:00:00"/>
    <s v="Nederlandse"/>
    <s v="M"/>
    <s v="vroonhoevelaaan 7"/>
    <s v="3062 PD ROTTERDAM"/>
    <s v="Nederland"/>
    <s v="j.kruimer@hotmail.com"/>
    <n v="-614416150"/>
    <n v="2013"/>
    <x v="1"/>
    <m/>
  </r>
  <r>
    <x v="1"/>
    <n v="4249127"/>
    <s v="tvanloef"/>
    <s v="Loef"/>
    <s v="T.O. van Loef"/>
    <s v="Tom"/>
    <x v="75"/>
    <s v="Differentieel"/>
    <s v="Berend Nootenboom"/>
    <d v="1992-12-18T00:00:00"/>
    <s v="Nederlandse"/>
    <s v="M"/>
    <s v="Oranje Nassaulaan 55"/>
    <s v="3708 GC ZEIST"/>
    <s v="Nederland"/>
    <s v="tommy_vanloef@hotmail.com"/>
    <n v="-654384164"/>
    <n v="2012"/>
    <x v="14"/>
    <m/>
  </r>
  <r>
    <x v="1"/>
    <n v="4289099"/>
    <s v="bschelfaut"/>
    <s v="Schelfaut"/>
    <s v="B.S. Schelfaut"/>
    <s v="Bart"/>
    <x v="75"/>
    <s v="Differentieel"/>
    <s v="Berend Nootenboom"/>
    <d v="1995-09-15T00:00:00"/>
    <s v="Nederlandse"/>
    <s v="M"/>
    <s v="Johannes Bildersstraat 40"/>
    <s v="2596 EJ 'S-GRAVENHAGE"/>
    <s v="Nederland"/>
    <s v="bart@schelfaut.nl"/>
    <n v="-613773865"/>
    <n v="2013"/>
    <x v="1"/>
    <m/>
  </r>
  <r>
    <x v="1"/>
    <n v="4219910"/>
    <s v="ssiers"/>
    <s v="Siers"/>
    <s v="S.J. Siers"/>
    <s v="Sebas"/>
    <x v="75"/>
    <s v="Differentieel"/>
    <s v="Berend Nootenboom"/>
    <d v="1994-08-10T00:00:00"/>
    <s v="Nederlandse"/>
    <s v="M"/>
    <s v="GROENEWEG 4"/>
    <s v="1861 PH BERGEN NH"/>
    <s v="Nederland"/>
    <s v="sjsiers@hotmail.com"/>
    <n v="-599999969"/>
    <n v="2012"/>
    <x v="2"/>
    <m/>
  </r>
  <r>
    <x v="1"/>
    <n v="4245806"/>
    <s v="bwagenaar"/>
    <s v="Wagenaar"/>
    <s v="B.J.J. Wagenaar"/>
    <s v="Bart"/>
    <x v="75"/>
    <s v="Differentieel"/>
    <s v="Berend Nootenboom"/>
    <d v="1994-05-21T00:00:00"/>
    <s v="Nederlandse"/>
    <s v="M"/>
    <s v="Oosterblokker 27"/>
    <s v="1696 BA OOSTERBLOKKER"/>
    <s v="Nederland"/>
    <s v="bart_niwa@hotmail.com"/>
    <n v="-648418339"/>
    <n v="2012"/>
    <x v="7"/>
    <m/>
  </r>
  <r>
    <x v="1"/>
    <n v="4243722"/>
    <s v="idjordjevski"/>
    <s v="Djordjevski"/>
    <s v="I. Djordjevski"/>
    <s v="Igor"/>
    <x v="76"/>
    <s v="Differentieel"/>
    <s v="Laurens Peene"/>
    <d v="1992-10-02T00:00:00"/>
    <s v="Nederlandse"/>
    <s v="M"/>
    <s v="E. du Perronlaan 478"/>
    <s v="2624 ND DELFT"/>
    <s v="Nederland"/>
    <s v="igorulez@hotmail.com"/>
    <n v="-617739946"/>
    <n v="2012"/>
    <x v="14"/>
    <m/>
  </r>
  <r>
    <x v="1"/>
    <n v="4292901"/>
    <s v="jvanduffelen"/>
    <s v="Duffelen"/>
    <s v="J.R. van Duffelen"/>
    <s v="Jasper"/>
    <x v="76"/>
    <s v="Differentieel"/>
    <s v="Laurens Peene"/>
    <d v="1994-02-02T00:00:00"/>
    <s v="Nederlandse"/>
    <s v="M"/>
    <s v="Obrechtlaan 20"/>
    <s v="3055 TK ROTTERDAM"/>
    <s v="Nederland"/>
    <s v="jasper@vanduffelen.nl"/>
    <n v="-612210798"/>
    <n v="2013"/>
    <x v="1"/>
    <m/>
  </r>
  <r>
    <x v="1"/>
    <n v="4208390"/>
    <s v="mkleinmeuleman"/>
    <s v="Klein Meuleman"/>
    <s v="M. Klein Meuleman"/>
    <s v="Max"/>
    <x v="76"/>
    <s v="Differentieel"/>
    <s v="Laurens Peene"/>
    <d v="1993-10-20T00:00:00"/>
    <s v="Nederlandse"/>
    <s v="M"/>
    <s v="Lambertusstraat 36"/>
    <s v="3062 WH ROTTERDAM"/>
    <s v="Nederland"/>
    <s v="mkmeuleman@gmail.com"/>
    <n v="-623610833"/>
    <n v="2012"/>
    <x v="14"/>
    <m/>
  </r>
  <r>
    <x v="1"/>
    <n v="4312384"/>
    <s v="mwfroos"/>
    <s v="Roos"/>
    <s v="M.W.F. Roos"/>
    <s v="Michiel"/>
    <x v="76"/>
    <s v="Differentieel"/>
    <s v="Laurens Peene"/>
    <d v="1995-02-26T00:00:00"/>
    <s v="Nederlandse"/>
    <s v="M"/>
    <s v="Vijverlaan 30"/>
    <s v="3062 HK ROTTERDAM"/>
    <s v="Nederland"/>
    <s v="michiel_roos10@hotmail.com"/>
    <n v="-612645756"/>
    <n v="2013"/>
    <x v="1"/>
    <m/>
  </r>
  <r>
    <x v="1"/>
    <n v="4332598"/>
    <s v="tschoute"/>
    <s v="Schoute"/>
    <s v="T. Schoute"/>
    <s v="Tim"/>
    <x v="76"/>
    <s v="Differentieel"/>
    <s v="Laurens Peene"/>
    <d v="1995-09-21T00:00:00"/>
    <s v="Nederlandse"/>
    <s v="M"/>
    <s v="Melodiestraat 35"/>
    <s v="2553 VH 'S-GRAVENHAGE"/>
    <s v="Nederland"/>
    <s v="tim_schoute@hotmail.com"/>
    <n v="-615890478"/>
    <n v="2013"/>
    <x v="1"/>
    <m/>
  </r>
  <r>
    <x v="1"/>
    <n v="4322215"/>
    <s v="fmverburg"/>
    <s v="Verburg"/>
    <s v="F.M. Verburg"/>
    <s v="Floris"/>
    <x v="76"/>
    <s v="Differentieel"/>
    <s v="Laurens Peene"/>
    <d v="1995-06-30T00:00:00"/>
    <s v="Nederlandse"/>
    <s v="M"/>
    <s v="Wagemakerspark 80"/>
    <s v="4818 TV BREDA"/>
    <s v="Nederland"/>
    <s v="floris.verburg@hotmail.com"/>
    <n v="-653460335"/>
    <n v="2013"/>
    <x v="1"/>
    <m/>
  </r>
  <r>
    <x v="1"/>
    <n v="4323890"/>
    <s v="jhvanwelsenes"/>
    <s v="Welsenes"/>
    <s v="J.H. van Welsenes"/>
    <s v="Jeroen"/>
    <x v="76"/>
    <s v="Differentieel"/>
    <s v="Laurens Peene"/>
    <d v="1993-11-27T00:00:00"/>
    <s v="Nederlandse"/>
    <s v="M"/>
    <s v="vroonhoevelaaan 7"/>
    <s v="2553 ET Den Haag"/>
    <s v="Nederland"/>
    <s v="jeroen.h.v.welsenes@gmail.com"/>
    <n v="310624000000"/>
    <n v="2013"/>
    <x v="1"/>
    <m/>
  </r>
  <r>
    <x v="1"/>
    <n v="4331613"/>
    <s v="lfltwillems"/>
    <s v="Willems"/>
    <s v="L.F.L.T. Willems"/>
    <s v="Laurens"/>
    <x v="76"/>
    <s v="Differentieel"/>
    <s v="Laurens Peene"/>
    <d v="1994-01-27T00:00:00"/>
    <s v="Nederlandse"/>
    <s v="M"/>
    <s v="Van Meerbeekstraat 7"/>
    <s v="2181 AR HILLEGOM"/>
    <s v="Nederland"/>
    <s v="laurensbmw@gmail.com"/>
    <n v="-651236013"/>
    <n v="2013"/>
    <x v="1"/>
    <m/>
  </r>
  <r>
    <x v="1"/>
    <n v="4281926"/>
    <s v="bbenist"/>
    <s v="Benist"/>
    <s v="B.P. Benist"/>
    <s v="Bram"/>
    <x v="77"/>
    <s v="Differentieel"/>
    <s v="Laurens Peene"/>
    <d v="1995-07-17T00:00:00"/>
    <s v="Nederlandse"/>
    <s v="M"/>
    <s v="Van Beverningkstraat 24"/>
    <s v="2582 VH 'S-GRAVENHAGE"/>
    <s v="Nederland"/>
    <s v="bram.benist@gmail.com"/>
    <n v="-640413595"/>
    <n v="2013"/>
    <x v="1"/>
    <m/>
  </r>
  <r>
    <x v="1"/>
    <n v="4305353"/>
    <s v="ldebie"/>
    <s v="Bie"/>
    <s v="L. de Bie"/>
    <s v="Lisette"/>
    <x v="77"/>
    <s v="Differentieel"/>
    <s v="Laurens Peene"/>
    <d v="1995-08-02T00:00:00"/>
    <s v="Nederlandse"/>
    <s v="V"/>
    <s v="Sleutelbloemstraat 2"/>
    <s v="2651 MN BERKEL EN RODENRIJS"/>
    <s v="Nederland"/>
    <s v="lisette.debie@gmail.com"/>
    <n v="-637226202"/>
    <n v="2013"/>
    <x v="1"/>
    <m/>
  </r>
  <r>
    <x v="1"/>
    <n v="4298004"/>
    <s v="kdillmann"/>
    <s v="Dillmann"/>
    <s v="K.R. Dillmann"/>
    <s v="Karyna"/>
    <x v="77"/>
    <s v="Differentieel"/>
    <s v="Laurens Peene"/>
    <d v="1995-06-21T00:00:00"/>
    <s v="Nederlandse"/>
    <s v="V"/>
    <s v="Lelyweg 10"/>
    <s v="2661 TT BERGSCHENHOEK"/>
    <s v="Nederland"/>
    <s v="karodil@msn.com"/>
    <n v="-630510176"/>
    <n v="2013"/>
    <x v="1"/>
    <m/>
  </r>
  <r>
    <x v="1"/>
    <n v="4272838"/>
    <s v="mkorthalsaltes"/>
    <s v="Korthals Altes"/>
    <s v="M.A. Korthals Altes"/>
    <s v="Maurits"/>
    <x v="77"/>
    <s v="Differentieel"/>
    <s v="Laurens Peene"/>
    <d v="1995-08-31T00:00:00"/>
    <s v="Nederlandse"/>
    <s v="M"/>
    <s v="President Kennedylaan 10 BY SWD"/>
    <s v="3971 KP DRIEBERGEN-RIJSENBURG"/>
    <s v="Nederland"/>
    <s v="mau.kort.alt@hotmail.com"/>
    <n v="-643216629"/>
    <n v="2013"/>
    <x v="1"/>
    <m/>
  </r>
  <r>
    <x v="1"/>
    <n v="4238435"/>
    <s v="rnagtzaam"/>
    <s v="Nagtzaam"/>
    <s v="R.H.M.Q. Nagtzaam"/>
    <s v="Ruud"/>
    <x v="77"/>
    <s v="Differentieel"/>
    <s v="Laurens Peene"/>
    <d v="1994-03-29T00:00:00"/>
    <s v="Nederlandse"/>
    <s v="M"/>
    <s v="Dillenburgstraat 77"/>
    <s v="4835 EB BREDA"/>
    <s v="Nederland"/>
    <s v="ruudnagtzaam@hotmail.com"/>
    <n v="-644494847"/>
    <n v="2013"/>
    <x v="1"/>
    <m/>
  </r>
  <r>
    <x v="1"/>
    <n v="4285956"/>
    <s v="troudevrielink"/>
    <s v="Oude Vrielink"/>
    <s v="T.R. Oude Vrielink"/>
    <s v="Thijs"/>
    <x v="77"/>
    <s v="Differentieel"/>
    <s v="Laurens Peene"/>
    <d v="1994-10-31T00:00:00"/>
    <s v="Nederlandse"/>
    <s v="M"/>
    <s v="Coornhertlaan 6"/>
    <s v="3818 RJ AMERSFOORT"/>
    <s v="Nederland"/>
    <s v="thijsoudevrielink@gmail.com"/>
    <n v="-612261411"/>
    <n v="2013"/>
    <x v="1"/>
    <m/>
  </r>
  <r>
    <x v="1"/>
    <n v="4305302"/>
    <s v="robertosobhi"/>
    <s v="Sobhi"/>
    <s v="R. Sobhi"/>
    <s v="Roberto"/>
    <x v="77"/>
    <s v="Differentieel"/>
    <s v="Laurens Peene"/>
    <d v="1995-01-12T00:00:00"/>
    <s v="Nederlandse"/>
    <s v="M"/>
    <s v="Jacob van Campenplein 17"/>
    <s v="3067 LA ROTTERDAM"/>
    <s v="Nederland"/>
    <s v="darkroberto@msn.com"/>
    <n v="-642318581"/>
    <n v="2013"/>
    <x v="1"/>
    <m/>
  </r>
  <r>
    <x v="1"/>
    <n v="4322878"/>
    <s v="daadewit"/>
    <s v="Wit"/>
    <s v="D.A.A. de Wit"/>
    <s v="Dennis"/>
    <x v="77"/>
    <s v="Differentieel"/>
    <s v="Laurens Peene"/>
    <d v="1994-12-21T00:00:00"/>
    <s v="Nederlandse"/>
    <s v="M"/>
    <s v="Lange Dreef 7"/>
    <s v="4124 AJ HAGESTEIN"/>
    <s v="Nederland"/>
    <s v="dennis-dewit@hotmail.com"/>
    <n v="-657341966"/>
    <n v="2013"/>
    <x v="1"/>
    <m/>
  </r>
  <r>
    <x v="1"/>
    <n v="4002164"/>
    <s v="svanderbijl"/>
    <s v="Bijl"/>
    <s v="S.W.M. van der Bijl"/>
    <s v="Steven"/>
    <x v="78"/>
    <s v="Differentieel"/>
    <s v="Robert Peuchen"/>
    <d v="1991-08-17T00:00:00"/>
    <s v="Nederlandse"/>
    <s v="M"/>
    <s v="van Hasseltlaan 574"/>
    <s v="2625 JK DELFT"/>
    <s v="Nederland"/>
    <s v="stevenvanderbijl@hotmail.com"/>
    <m/>
    <n v="2009"/>
    <x v="10"/>
    <m/>
  </r>
  <r>
    <x v="1"/>
    <n v="4319567"/>
    <s v="yboekhout"/>
    <s v="Boekhout"/>
    <s v="Y. Boekhout"/>
    <s v="Yannick"/>
    <x v="78"/>
    <s v="Differentieel"/>
    <s v="Robert Peuchen"/>
    <d v="1995-01-04T00:00:00"/>
    <s v="Nederlandse"/>
    <s v="M"/>
    <s v="Langeweg 171"/>
    <s v="4133 AW VIANEN UT"/>
    <s v="Nederland"/>
    <s v="yannickboekhout@gmail.com"/>
    <n v="-652513968"/>
    <n v="2013"/>
    <x v="1"/>
    <m/>
  </r>
  <r>
    <x v="1"/>
    <n v="4320158"/>
    <s v="jbuwalda"/>
    <s v="Buwalda"/>
    <s v="J.D. Buwalda"/>
    <s v="Jip Buwalda"/>
    <x v="78"/>
    <s v="Differentieel"/>
    <s v="Robert Peuchen"/>
    <d v="1995-01-30T00:00:00"/>
    <s v="Nederlandse"/>
    <s v="M"/>
    <s v="Wulpendreef 17"/>
    <s v="2841 NN MOORDRECHT"/>
    <s v="Nederland"/>
    <s v="jipbuwalda@hotmail.com"/>
    <n v="-643795348"/>
    <n v="2013"/>
    <x v="1"/>
    <m/>
  </r>
  <r>
    <x v="1"/>
    <n v="4299612"/>
    <s v="dhondeborg"/>
    <s v="Hondeborg"/>
    <s v="D.L. Hondeborg"/>
    <s v="Dianne"/>
    <x v="78"/>
    <s v="Differentieel"/>
    <s v="Robert Peuchen"/>
    <d v="1996-04-17T00:00:00"/>
    <s v="Nederlandse"/>
    <s v="V"/>
    <s v="Rheebrugge 2"/>
    <s v="9472 RG ZUIDLAREN"/>
    <s v="Nederland"/>
    <s v="dianne.hondeborg@hotmail.com"/>
    <n v="-643694827"/>
    <n v="2013"/>
    <x v="1"/>
    <m/>
  </r>
  <r>
    <x v="1"/>
    <n v="4328124"/>
    <s v="sjkempen"/>
    <s v="Kempen"/>
    <s v="S.J. Kempen"/>
    <s v="Sander"/>
    <x v="78"/>
    <s v="Differentieel"/>
    <s v="Robert Peuchen"/>
    <d v="1994-11-12T00:00:00"/>
    <s v="Nederlandse"/>
    <s v="M"/>
    <s v="Zuideinde 67 A"/>
    <s v="2445 AT AARLANDERVEEN"/>
    <s v="Nederland"/>
    <s v="sander_kempen@hotmail.com"/>
    <n v="-623143256"/>
    <n v="2013"/>
    <x v="1"/>
    <m/>
  </r>
  <r>
    <x v="1"/>
    <n v="4309499"/>
    <s v="njvanleeuwen"/>
    <s v="Leeuwen"/>
    <s v="N.J. van Leeuwen"/>
    <s v="Nico"/>
    <x v="78"/>
    <s v="Differentieel"/>
    <s v="Robert Peuchen"/>
    <d v="1994-03-04T00:00:00"/>
    <s v="Nederlandse"/>
    <s v="M"/>
    <s v="Beecksanghlaan 32"/>
    <s v="1951 LR VELSEN-NOORD"/>
    <s v="Nederland"/>
    <s v="nico_assh@hotmail.com"/>
    <n v="-640020342"/>
    <n v="2013"/>
    <x v="1"/>
    <m/>
  </r>
  <r>
    <x v="1"/>
    <n v="4303377"/>
    <s v="jlogeman"/>
    <s v="Logeman"/>
    <s v="J.A. Logeman"/>
    <s v="Joris"/>
    <x v="78"/>
    <s v="Differentieel"/>
    <s v="Robert Peuchen"/>
    <d v="1995-05-17T00:00:00"/>
    <s v="Nederlandse"/>
    <s v="M"/>
    <s v="Lingsesdijk 58"/>
    <s v="4207 AE GORINCHEM"/>
    <s v="Nederland"/>
    <s v="joris.logeman@gmail.com"/>
    <n v="-641522591"/>
    <n v="2013"/>
    <x v="1"/>
    <m/>
  </r>
  <r>
    <x v="1"/>
    <n v="4233271"/>
    <s v="tpmeester"/>
    <s v="Meester"/>
    <s v="T.P. Meester"/>
    <s v="Timo"/>
    <x v="78"/>
    <s v="Differentieel"/>
    <s v="Robert Peuchen"/>
    <d v="1994-02-12T00:00:00"/>
    <s v="Nederlandse"/>
    <s v="M"/>
    <s v="Breewei 38"/>
    <s v="8406 EE TIJNJE"/>
    <s v="Nederland"/>
    <s v="timomeester@gmail.com"/>
    <n v="-636497171"/>
    <n v="2012"/>
    <x v="2"/>
    <m/>
  </r>
  <r>
    <x v="1"/>
    <n v="4173163"/>
    <s v="vdros"/>
    <s v="Dros"/>
    <s v="J. Dros"/>
    <s v="Vos"/>
    <x v="79"/>
    <s v="Differentieel"/>
    <s v="Robert Peuchen"/>
    <d v="1993-01-05T00:00:00"/>
    <s v="Nederlandse"/>
    <s v="M"/>
    <s v="Harkebuurt 4"/>
    <s v="1794 HM OOSTEREND NH"/>
    <s v="Nederland"/>
    <s v="vos-dros@hotmail.com"/>
    <n v="-621888154"/>
    <n v="2011"/>
    <x v="14"/>
    <m/>
  </r>
  <r>
    <x v="1"/>
    <n v="4221583"/>
    <s v="tamijs"/>
    <s v="Amijs"/>
    <s v="T. Amijs"/>
    <s v="Tijn"/>
    <x v="79"/>
    <s v="Differentieel"/>
    <s v="Robert Peuchen"/>
    <d v="1993-01-05T00:00:00"/>
    <s v="Nederlandse"/>
    <s v="M"/>
    <m/>
    <m/>
    <m/>
    <m/>
    <m/>
    <n v="2012"/>
    <x v="20"/>
    <m/>
  </r>
  <r>
    <x v="1"/>
    <n v="4325370"/>
    <s v="mgrootbeumer"/>
    <s v="Groot Beumer"/>
    <s v="M.L. Groot Beumer"/>
    <s v="Morris"/>
    <x v="79"/>
    <s v="Differentieel"/>
    <s v="Robert Peuchen"/>
    <d v="1994-11-07T00:00:00"/>
    <s v="Nederlandse"/>
    <s v="M"/>
    <s v="Baljuwenlaan 8"/>
    <s v="1181 BA AMSTELVEEN"/>
    <s v="Nederland"/>
    <s v="morris@grootbeumer.com"/>
    <n v="-634466833"/>
    <n v="2013"/>
    <x v="1"/>
    <m/>
  </r>
  <r>
    <x v="1"/>
    <n v="4319761"/>
    <s v="jclmhermans"/>
    <s v="Hermans"/>
    <s v="J.C.L.M. Hermans"/>
    <s v="Job"/>
    <x v="79"/>
    <s v="Differentieel"/>
    <s v="Robert Peuchen"/>
    <d v="1996-03-08T00:00:00"/>
    <s v="Nederlandse"/>
    <s v="M"/>
    <s v="Roodenburgerstraat 6"/>
    <s v="2313 HK LEIDEN"/>
    <s v="Nederland"/>
    <s v="jobm34@hotmail.com"/>
    <n v="-646207906"/>
    <n v="2013"/>
    <x v="1"/>
    <m/>
  </r>
  <r>
    <x v="1"/>
    <n v="4321758"/>
    <s v="dulijn"/>
    <s v="Ulijn"/>
    <s v="D.W. Ulijn"/>
    <s v="Dirk"/>
    <x v="79"/>
    <s v="Differentieel"/>
    <s v="Robert Peuchen"/>
    <d v="1995-02-23T00:00:00"/>
    <s v="Nederlandse"/>
    <s v="M"/>
    <s v="Pauwhof 143"/>
    <s v="2289 BL RIJSWIJK ZH"/>
    <s v="Nederland"/>
    <s v="dirk.ulijn@gmail.com"/>
    <n v="-627542665"/>
    <n v="2013"/>
    <x v="1"/>
    <m/>
  </r>
  <r>
    <x v="1"/>
    <n v="4214110"/>
    <s v="mverkou"/>
    <s v="Verkou"/>
    <s v="M.H. Verkou"/>
    <s v="Maarten"/>
    <x v="79"/>
    <s v="Differentieel"/>
    <s v="Robert Peuchen"/>
    <d v="1993-11-08T00:00:00"/>
    <s v="Nederlandse"/>
    <s v="M"/>
    <s v="Weimersedreef 8"/>
    <s v="4841 KG PRINSENBEEK"/>
    <s v="Nederland"/>
    <s v="maartenll@live.nl"/>
    <n v="-630582537"/>
    <n v="2012"/>
    <x v="2"/>
    <m/>
  </r>
  <r>
    <x v="1"/>
    <n v="4259130"/>
    <s v="csdewit"/>
    <s v="Wit"/>
    <s v="C.S. de Wit"/>
    <s v="Charlotte"/>
    <x v="79"/>
    <s v="Differentieel"/>
    <s v="Robert Peuchen"/>
    <d v="1994-10-04T00:00:00"/>
    <s v="Nederlandse"/>
    <s v="V"/>
    <s v="Brussellaan 38"/>
    <s v="5224 VJ 'S-HERTOGENBOSCH"/>
    <s v="Nederland"/>
    <s v="dat_klopt_zeker@hotmail.com"/>
    <n v="-644061046"/>
    <n v="2012"/>
    <x v="18"/>
    <m/>
  </r>
  <r>
    <x v="1"/>
    <n v="4317262"/>
    <s v="sdelfos"/>
    <s v="Delfos"/>
    <s v="S. Delfos"/>
    <s v="Sander"/>
    <x v="80"/>
    <s v="Differentieel"/>
    <s v="Wouter van Rijn"/>
    <d v="1994-08-26T00:00:00"/>
    <s v="Nederlandse"/>
    <s v="M"/>
    <s v="De Velden 108"/>
    <s v="3124 CP SCHIEDAM"/>
    <s v="Nederland"/>
    <s v="sanderdelfos@hotmail.com"/>
    <n v="-633877867"/>
    <n v="2013"/>
    <x v="1"/>
    <m/>
  </r>
  <r>
    <x v="1"/>
    <n v="4290798"/>
    <s v="jdirrix"/>
    <s v="Dirrix"/>
    <s v="J.J. Dirrix"/>
    <s v="Joop"/>
    <x v="80"/>
    <s v="Differentieel"/>
    <s v="Wouter van Rijn"/>
    <d v="1994-01-15T00:00:00"/>
    <s v="Nederlandse"/>
    <s v="M"/>
    <s v="Jozef Israelsstraat 80"/>
    <s v="9718 GP GRONINGEN"/>
    <s v="Nederland"/>
    <s v="joopdirrix@gmail.com"/>
    <n v="-636274660"/>
    <n v="2013"/>
    <x v="1"/>
    <m/>
  </r>
  <r>
    <x v="1"/>
    <n v="4283457"/>
    <s v="tvanengelshove"/>
    <s v="Engelshoven"/>
    <s v="T.M.M.P. van Engelshoven"/>
    <s v="Thyco"/>
    <x v="80"/>
    <s v="Differentieel"/>
    <s v="Wouter van Rijn"/>
    <d v="1995-06-20T00:00:00"/>
    <s v="Nederlandse"/>
    <s v="M"/>
    <s v="Hoog Hoefloo 37"/>
    <s v="1251 EC LAREN NH"/>
    <s v="Nederland"/>
    <s v="tvengelshoven@gmail.com"/>
    <n v="-658846683"/>
    <n v="2013"/>
    <x v="1"/>
    <m/>
  </r>
  <r>
    <x v="1"/>
    <n v="4277910"/>
    <s v="cgrevet"/>
    <s v="Grevet"/>
    <s v="C. Grevet"/>
    <s v="Camiel"/>
    <x v="80"/>
    <s v="Differentieel"/>
    <s v="Wouter van Rijn"/>
    <d v="1995-09-22T00:00:00"/>
    <s v="Nederlandse"/>
    <s v="M"/>
    <s v="Dwerggrashof 1"/>
    <s v="1313 AT ALMERE"/>
    <s v="Nederland"/>
    <s v="camielgrevet@gmail.com"/>
    <n v="-610607140"/>
    <n v="2013"/>
    <x v="1"/>
    <m/>
  </r>
  <r>
    <x v="1"/>
    <n v="4298780"/>
    <s v="inuijts"/>
    <s v="Nuijts"/>
    <s v="I.R. Nuijts"/>
    <s v="Ivar"/>
    <x v="80"/>
    <s v="Differentieel"/>
    <s v="Wouter van Rijn"/>
    <d v="1995-11-05T00:00:00"/>
    <s v="Nederlandse"/>
    <s v="M"/>
    <s v="Maldenhof 135"/>
    <s v="1106 ED AMSTERDAM ZUIDOOST"/>
    <s v="Nederland"/>
    <s v="ivarnu@live.nl"/>
    <n v="-654224826"/>
    <n v="2013"/>
    <x v="1"/>
    <m/>
  </r>
  <r>
    <x v="1"/>
    <n v="4211308"/>
    <s v="lukapeters"/>
    <s v="Peters"/>
    <s v="L. Peters"/>
    <s v="Luka"/>
    <x v="80"/>
    <s v="Differentieel"/>
    <s v="Wouter van Rijn"/>
    <d v="1993-07-13T00:00:00"/>
    <s v="Nederlandse"/>
    <s v="V"/>
    <s v="Jacoba van Beierenlaan 91"/>
    <s v="2613 JC DELFT"/>
    <s v="Nederland"/>
    <s v="luka.peters@telfort.nl"/>
    <n v="-617376575"/>
    <n v="2012"/>
    <x v="2"/>
    <m/>
  </r>
  <r>
    <x v="1"/>
    <n v="4333152"/>
    <s v="qrademakers"/>
    <s v="Rademakers"/>
    <s v="Q.A.H. Rademakers"/>
    <s v="Quinten"/>
    <x v="80"/>
    <s v="Differentieel"/>
    <s v="Wouter van Rijn"/>
    <d v="1994-11-12T00:00:00"/>
    <s v="Nederlandse"/>
    <s v="M"/>
    <s v="Wilhelminalaan 32"/>
    <s v="2281 EH RIJSWIJK ZH"/>
    <s v="Nederland"/>
    <s v="coolquinten@gmail.com"/>
    <n v="-636124130"/>
    <n v="2013"/>
    <x v="1"/>
    <m/>
  </r>
  <r>
    <x v="1"/>
    <n v="4296958"/>
    <s v="nsewgobind"/>
    <s v="Sewgobind"/>
    <s v="N.S. Sewgobind"/>
    <s v="Niraj"/>
    <x v="80"/>
    <s v="Differentieel"/>
    <s v="Wouter van Rijn"/>
    <d v="1994-07-30T00:00:00"/>
    <s v="Nederlandse"/>
    <s v="M"/>
    <s v="Tefelenstraat 144"/>
    <s v="1107 SN AMSTERDAM ZUIDOOST"/>
    <s v="Nederland"/>
    <s v="nirajsewgobind@gmail.com"/>
    <n v="-624857945"/>
    <n v="2013"/>
    <x v="1"/>
    <m/>
  </r>
  <r>
    <x v="1"/>
    <n v="4276531"/>
    <s v="msvanadrichem"/>
    <s v="Adrichem"/>
    <s v="M.S. van Adrichem"/>
    <s v="Merlijn"/>
    <x v="81"/>
    <s v="Differentieel"/>
    <s v="Wouter van Rijn"/>
    <d v="1995-05-07T00:00:00"/>
    <s v="Nederlandse"/>
    <s v="M"/>
    <s v="Litouwen 33"/>
    <s v="2613 MB DELFT"/>
    <s v="Nederland"/>
    <s v="m.v.a.stanislas@hotmail.com"/>
    <n v="-643216224"/>
    <n v="2013"/>
    <x v="1"/>
    <m/>
  </r>
  <r>
    <x v="1"/>
    <n v="4281810"/>
    <s v="jmvandenberg"/>
    <s v="Berg"/>
    <s v="J.M. van den Berg"/>
    <s v="Jesper"/>
    <x v="81"/>
    <s v="Differentieel"/>
    <s v="Wouter van Rijn"/>
    <d v="1995-07-29T00:00:00"/>
    <s v="Nederlandse"/>
    <s v="M"/>
    <s v="Vermiljoenstraat 7"/>
    <s v="1339 BC ALMERE"/>
    <s v="Nederland"/>
    <s v="jespermaik@gmail.com"/>
    <n v="-641022871"/>
    <n v="2013"/>
    <x v="1"/>
    <m/>
  </r>
  <r>
    <x v="1"/>
    <n v="4293681"/>
    <s v="sfalkena"/>
    <s v="Falkena"/>
    <s v="S.T. Falkena"/>
    <s v="Sieger"/>
    <x v="81"/>
    <s v="Differentieel"/>
    <s v="Wouter van Rijn"/>
    <d v="1995-08-08T00:00:00"/>
    <s v="Nederlandse"/>
    <s v="M"/>
    <s v="Harichsterdyk 24"/>
    <s v="8571 RL HARICH"/>
    <s v="Nederland"/>
    <s v="siegerfalkena@hotmail.com"/>
    <n v="-623405789"/>
    <n v="2013"/>
    <x v="1"/>
    <m/>
  </r>
  <r>
    <x v="1"/>
    <n v="4299736"/>
    <s v="dgorsse"/>
    <s v="Gorsse"/>
    <s v="D.G.M. Gorsse"/>
    <s v="Daan"/>
    <x v="81"/>
    <s v="Differentieel"/>
    <s v="Wouter van Rijn"/>
    <d v="1995-09-08T00:00:00"/>
    <s v="Nederlandse"/>
    <s v="M"/>
    <s v="Duke Ellingtonlaan 39"/>
    <s v="4462 LG GOES"/>
    <s v="Nederland"/>
    <s v="daangorsse@live.nl"/>
    <n v="-621470933"/>
    <n v="2013"/>
    <x v="1"/>
    <m/>
  </r>
  <r>
    <x v="1"/>
    <n v="4299523"/>
    <s v="jhus"/>
    <s v="Hus"/>
    <s v="J.V.F. Hus"/>
    <s v="Jan"/>
    <x v="81"/>
    <s v="Differentieel"/>
    <s v="Wouter van Rijn"/>
    <d v="1995-02-06T00:00:00"/>
    <s v="Nederlandse"/>
    <s v="M"/>
    <s v="Van der Burchlaan 36"/>
    <s v="2597 PE 'S-GRAVENHAGE"/>
    <s v="Nederland"/>
    <s v="vin-only@live.nl"/>
    <m/>
    <n v="2013"/>
    <x v="1"/>
    <m/>
  </r>
  <r>
    <x v="1"/>
    <n v="4301560"/>
    <s v="dkluijver"/>
    <s v="Kluijver"/>
    <s v="D.B. Kluijver"/>
    <s v="Daan"/>
    <x v="81"/>
    <s v="Differentieel"/>
    <s v="Wouter van Rijn"/>
    <d v="1995-07-27T00:00:00"/>
    <s v="Nederlandse"/>
    <s v="M"/>
    <s v="Dekkersbos 31"/>
    <s v="3956 TH LEERSUM"/>
    <s v="Nederland"/>
    <s v="daankluijver@hotmail.nl"/>
    <n v="-681173205"/>
    <n v="2013"/>
    <x v="1"/>
    <m/>
  </r>
  <r>
    <x v="1"/>
    <n v="4291654"/>
    <s v="lsixmabaronvan"/>
    <s v="Sixma baron van Heemstra"/>
    <s v="A.L. Sixma baron van Heemstra"/>
    <s v="Luis van Heemst"/>
    <x v="81"/>
    <s v="Differentieel"/>
    <s v="Wouter van Rijn"/>
    <d v="1995-10-02T00:00:00"/>
    <s v="Nederlandse"/>
    <s v="M"/>
    <s v="Gachardstraat 44"/>
    <n v="1050"/>
    <s v="België"/>
    <s v="alvanheemstra@yahoo.es"/>
    <m/>
    <n v="2013"/>
    <x v="1"/>
    <m/>
  </r>
  <r>
    <x v="1"/>
    <n v="4211863"/>
    <s v="mewieringa"/>
    <s v="Wieringa"/>
    <s v="M.E. Wieringa"/>
    <s v="Mark"/>
    <x v="81"/>
    <s v="Differentieel"/>
    <s v="Wouter van Rijn"/>
    <d v="1993-04-12T00:00:00"/>
    <s v="Nederlandse"/>
    <s v="M"/>
    <s v="Prof. Telderslaan 143"/>
    <s v="2628 XB DELFT"/>
    <s v="Nederland"/>
    <s v="wieringa.mark@gmail.com"/>
    <n v="-620675889"/>
    <n v="2012"/>
    <x v="2"/>
    <m/>
  </r>
  <r>
    <x v="1"/>
    <n v="4335775"/>
    <s v="mal"/>
    <s v="Al"/>
    <s v="M.K. Al"/>
    <s v="Mees"/>
    <x v="82"/>
    <s v="Differentieel"/>
    <s v="Alice van Rixel"/>
    <d v="1993-10-07T00:00:00"/>
    <s v="Nederlandse"/>
    <s v="M"/>
    <s v="Spinderspad 6"/>
    <s v="1561 AR KROMMENIE"/>
    <s v="Nederland"/>
    <s v="muse_mos@hotmail.com"/>
    <n v="-644768301"/>
    <n v="2013"/>
    <x v="1"/>
    <m/>
  </r>
  <r>
    <x v="1"/>
    <n v="4302664"/>
    <s v="aalotmani"/>
    <s v="Al Otmani"/>
    <s v="A. Al Otmani"/>
    <s v="Abdel"/>
    <x v="82"/>
    <s v="Differentieel"/>
    <s v="Alice van Rixel"/>
    <d v="1995-05-04T00:00:00"/>
    <s v="Nederlandse"/>
    <s v="M"/>
    <m/>
    <m/>
    <m/>
    <m/>
    <m/>
    <n v="2013"/>
    <x v="1"/>
    <s v="overgestapt van ET (na 1 dag)"/>
  </r>
  <r>
    <x v="1"/>
    <n v="4287541"/>
    <s v="mjgmbroekman"/>
    <s v="Broekman"/>
    <s v="M.J.G.M. Broekman"/>
    <s v="Max"/>
    <x v="82"/>
    <s v="Differentieel"/>
    <s v="Alice van Rixel"/>
    <d v="1995-04-26T00:00:00"/>
    <s v="Nederlandse"/>
    <s v="M"/>
    <m/>
    <m/>
    <s v="Nederland"/>
    <s v="max-1995@live.nl"/>
    <s v="06-52875095"/>
    <n v="2013"/>
    <x v="1"/>
    <m/>
  </r>
  <r>
    <x v="1"/>
    <n v="4291891"/>
    <s v="cjvanduijn"/>
    <s v="Duijn"/>
    <s v="C.J. van Duijn"/>
    <s v="Niels"/>
    <x v="82"/>
    <s v="Differentieel"/>
    <s v="Alice van Rixel"/>
    <d v="1995-06-07T00:00:00"/>
    <s v="Nederlandse"/>
    <s v="M"/>
    <s v="het Kooiveen 12"/>
    <s v="8096 MC OLDEBROEK"/>
    <s v="Nederland"/>
    <s v="nielsvanduijn@live.nl"/>
    <n v="-649498105"/>
    <n v="2013"/>
    <x v="1"/>
    <m/>
  </r>
  <r>
    <x v="1"/>
    <n v="4310594"/>
    <s v="tkervers"/>
    <s v="Kervers"/>
    <s v="T.F. Kervers"/>
    <s v="Tijmen"/>
    <x v="82"/>
    <s v="Differentieel"/>
    <s v="Alice van Rixel"/>
    <d v="1993-09-27T00:00:00"/>
    <s v="Nederlandse"/>
    <s v="M"/>
    <s v="Arie de Zeeuwstraat 29"/>
    <s v="3065 PA ROTTERDAM"/>
    <s v="Nederland"/>
    <s v="tijmen@kervers.nl"/>
    <n v="-631791352"/>
    <n v="2013"/>
    <x v="1"/>
    <m/>
  </r>
  <r>
    <x v="1"/>
    <n v="4305906"/>
    <s v="tdenijs"/>
    <s v="Nijs"/>
    <s v="A.E. de Nijs"/>
    <s v="Twan"/>
    <x v="82"/>
    <s v="Differentieel"/>
    <s v="Alice van Rixel"/>
    <d v="1995-05-25T00:00:00"/>
    <s v="Nederlandse"/>
    <s v="M"/>
    <s v="Lange Voort 311"/>
    <s v="2343 JZ OEGSTGEEST"/>
    <s v="Nederland"/>
    <s v="twandenijs@gmail.com"/>
    <n v="-627326840"/>
    <n v="2013"/>
    <x v="1"/>
    <m/>
  </r>
  <r>
    <x v="1"/>
    <n v="4293223"/>
    <s v="vschmeits"/>
    <s v="Schmeits"/>
    <s v="V.F. Schmeits"/>
    <s v="Vincent"/>
    <x v="82"/>
    <s v="Differentieel"/>
    <s v="Alice van Rixel"/>
    <d v="1995-11-03T00:00:00"/>
    <s v="Nederlandse"/>
    <s v="M"/>
    <s v="Gipskruidweg 151"/>
    <s v="1313 CS ALMERE"/>
    <s v="Nederland"/>
    <s v="vinschm@gmail.com"/>
    <n v="-647349332"/>
    <n v="2013"/>
    <x v="1"/>
    <m/>
  </r>
  <r>
    <x v="1"/>
    <n v="4319648"/>
    <s v="awitkamp"/>
    <s v="Witkamp"/>
    <s v="A.E. Witkamp"/>
    <s v="Alexander"/>
    <x v="82"/>
    <s v="Differentieel"/>
    <s v="Alice van Rixel"/>
    <d v="1995-02-10T00:00:00"/>
    <s v="Nederlandse"/>
    <s v="M"/>
    <s v="Lange Kerkdam 25"/>
    <s v="2242 BN WASSENAAR"/>
    <s v="Nederland"/>
    <s v="alexanderewitkamp@gmail.com"/>
    <m/>
    <n v="2013"/>
    <x v="1"/>
    <m/>
  </r>
  <r>
    <x v="1"/>
    <n v="4297393"/>
    <s v="hwynaendts"/>
    <s v="Wynaendts"/>
    <s v="H.P. Wynaendts"/>
    <s v="Henry"/>
    <x v="82"/>
    <s v="Differentieel"/>
    <s v="Alice van Rixel"/>
    <d v="1994-11-27T00:00:00"/>
    <s v="Nederlandse"/>
    <s v="M"/>
    <s v="Bankastraat 132"/>
    <s v="2585 ET 'S-GRAVENHAGE"/>
    <s v="Nederland"/>
    <s v="hen_wen731@hotmail.com"/>
    <n v="-620253648"/>
    <n v="2013"/>
    <x v="1"/>
    <m/>
  </r>
  <r>
    <x v="1"/>
    <n v="4281209"/>
    <s v="hdalstra"/>
    <s v="Dalstra"/>
    <s v="H. Dalstra"/>
    <s v="Hille"/>
    <x v="83"/>
    <s v="Differentieel"/>
    <s v="Alice van Rixel"/>
    <d v="1995-04-14T00:00:00"/>
    <s v="Nederlandse"/>
    <s v="M"/>
    <s v="Butergers 8"/>
    <s v="8401 MA GORREDIJK"/>
    <s v="Nederland"/>
    <s v="hdalstra@kpnmail.nl"/>
    <n v="-627444951"/>
    <n v="2013"/>
    <x v="1"/>
    <m/>
  </r>
  <r>
    <x v="1"/>
    <n v="4304500"/>
    <s v="rutgerham"/>
    <s v="Ham"/>
    <s v="R. Ham"/>
    <s v="Rutger"/>
    <x v="83"/>
    <s v="Differentieel"/>
    <s v="Alice van Rixel"/>
    <d v="1993-09-11T00:00:00"/>
    <s v="Nederlandse"/>
    <s v="M"/>
    <s v="Mullensstrook 5"/>
    <s v="2726 VP ZOETERMEER"/>
    <s v="Nederland"/>
    <s v="rutgerham@gmail.com"/>
    <n v="-624249654"/>
    <n v="2013"/>
    <x v="1"/>
    <m/>
  </r>
  <r>
    <x v="1"/>
    <n v="4309685"/>
    <s v="pimmolenaar"/>
    <s v="Molenaar"/>
    <s v="P. Molenaar"/>
    <s v="Pim"/>
    <x v="83"/>
    <s v="Differentieel"/>
    <s v="Alice van Rixel"/>
    <d v="1993-11-05T00:00:00"/>
    <s v="Nederlandse"/>
    <s v="M"/>
    <s v="Kerkweg 40"/>
    <s v="2941 BM LEKKERKERK"/>
    <s v="Nederland"/>
    <s v="pim.molenaar@live.nl"/>
    <n v="-623422145"/>
    <n v="2013"/>
    <x v="1"/>
    <m/>
  </r>
  <r>
    <x v="1"/>
    <n v="4298276"/>
    <s v="moldhoff"/>
    <s v="Oldhoff"/>
    <s v="M.G.E. Oldhoff"/>
    <s v="Miriam"/>
    <x v="83"/>
    <s v="Differentieel"/>
    <s v="Alice van Rixel"/>
    <d v="1995-03-31T00:00:00"/>
    <s v="Nederlandse"/>
    <s v="V"/>
    <s v="Thieboutmarke 2"/>
    <s v="8016 ME ZWOLLE"/>
    <s v="Nederland"/>
    <s v="mgeoldhoff@gmail.com"/>
    <n v="-611970732"/>
    <n v="2013"/>
    <x v="1"/>
    <m/>
  </r>
  <r>
    <x v="1"/>
    <n v="4289250"/>
    <s v="oophof"/>
    <s v="Ophof"/>
    <s v="O.A. Ophof"/>
    <s v="Oscar"/>
    <x v="83"/>
    <s v="Differentieel"/>
    <s v="Alice van Rixel"/>
    <d v="1995-06-12T00:00:00"/>
    <s v="Nederlandse"/>
    <s v="M"/>
    <s v="Buizengat 7"/>
    <s v="3134 AG VLAARDINGEN"/>
    <s v="Nederland"/>
    <s v="oaophof@gmail.com"/>
    <n v="-614822596"/>
    <n v="2013"/>
    <x v="1"/>
    <m/>
  </r>
  <r>
    <x v="1"/>
    <n v="4299906"/>
    <s v="mras"/>
    <s v="Ras"/>
    <s v="M.J. Ras"/>
    <s v="Meindert"/>
    <x v="83"/>
    <s v="Differentieel"/>
    <s v="Alice van Rixel"/>
    <d v="1995-08-28T00:00:00"/>
    <s v="Nederlandse"/>
    <s v="M"/>
    <s v="Vrijheidsplaat 30"/>
    <s v="8303 KE EMMELOORD"/>
    <s v="Nederland"/>
    <s v="meindert_ras@live.nl"/>
    <n v="-611992588"/>
    <n v="2013"/>
    <x v="1"/>
    <m/>
  </r>
  <r>
    <x v="1"/>
    <n v="4323645"/>
    <s v="fvanvals"/>
    <s v="Vals"/>
    <s v="F.P.M.H. van Vals"/>
    <s v="Florent"/>
    <x v="83"/>
    <s v="Differentieel"/>
    <s v="Alice van Rixel"/>
    <d v="1994-11-07T00:00:00"/>
    <s v="Nederlandse"/>
    <s v="M"/>
    <s v="Verwersstraat 81"/>
    <s v="5211 HV 'S-HERTOGENBOSCH"/>
    <s v="Nederland"/>
    <s v="florentv.vals@hotmail.com"/>
    <n v="-681329986"/>
    <n v="2013"/>
    <x v="1"/>
    <m/>
  </r>
  <r>
    <x v="1"/>
    <n v="4310349"/>
    <s v="lvogelaar"/>
    <s v="Vogelaar"/>
    <s v="L. Vogelaar"/>
    <s v="Luuk"/>
    <x v="83"/>
    <s v="Differentieel"/>
    <s v="Alice van Rixel"/>
    <d v="1995-09-03T00:00:00"/>
    <s v="Nederlandse"/>
    <s v="M"/>
    <s v="Hobbemalaan 13"/>
    <s v="1399 EV MUIDERBERG"/>
    <s v="Nederland"/>
    <s v="luuk.vogelaar@xs4all.nl"/>
    <n v="-654354724"/>
    <n v="2013"/>
    <x v="1"/>
    <m/>
  </r>
  <r>
    <x v="1"/>
    <n v="4214781"/>
    <s v="ndommerholt"/>
    <s v="Dommerholt"/>
    <s v="A.W. Dommerholt"/>
    <s v="Naomi"/>
    <x v="84"/>
    <s v="Homokineet"/>
    <s v="Tim Schuit"/>
    <d v="1993-11-01T00:00:00"/>
    <s v="Nederlandse"/>
    <s v="V"/>
    <s v="E. du Perronlaan 178"/>
    <s v="2624 NB DELFT"/>
    <s v="Nederland"/>
    <s v="naomidommerholt@msn.com"/>
    <n v="-625490763"/>
    <n v="2012"/>
    <x v="2"/>
    <m/>
  </r>
  <r>
    <x v="1"/>
    <n v="4291743"/>
    <s v="evanharen"/>
    <s v="Haren"/>
    <s v="E.M. van Haren"/>
    <s v="Eduard"/>
    <x v="84"/>
    <s v="Homokineet"/>
    <s v="Tim Schuit"/>
    <d v="1995-08-28T00:00:00"/>
    <s v="Nederlandse"/>
    <s v="M"/>
    <s v="Westerse Drift 71"/>
    <s v="9752 LC HAREN GN"/>
    <s v="Nederland"/>
    <s v="eduardvanharen@hotmail.com"/>
    <n v="-612262990"/>
    <n v="2013"/>
    <x v="1"/>
    <m/>
  </r>
  <r>
    <x v="1"/>
    <n v="4291638"/>
    <s v="broelofs"/>
    <s v="Roelofs"/>
    <s v="B.M. Roelofs"/>
    <s v="Bas"/>
    <x v="84"/>
    <s v="Homokineet"/>
    <s v="Tim Schuit"/>
    <d v="1995-06-13T00:00:00"/>
    <s v="Nederlandse"/>
    <s v="M"/>
    <s v="Prinses Irenestraat 44"/>
    <s v="6611 BJ OVERASSELT"/>
    <s v="Nederland"/>
    <s v="bas.roelofs@gmail.com"/>
    <n v="-683546672"/>
    <n v="2013"/>
    <x v="1"/>
    <m/>
  </r>
  <r>
    <x v="1"/>
    <n v="4304020"/>
    <s v="rschreurs"/>
    <s v="Schreurs"/>
    <s v="R. Schreurs"/>
    <s v="Rutger"/>
    <x v="84"/>
    <s v="Homokineet"/>
    <s v="Tim Schuit"/>
    <d v="1995-09-27T00:00:00"/>
    <s v="Nederlandse"/>
    <s v="M"/>
    <s v="Grachtenweg 13"/>
    <s v="8097 RD OOSTERWOLDE GLD"/>
    <s v="Nederland"/>
    <s v="rutger2709@live.nl"/>
    <m/>
    <n v="2013"/>
    <x v="1"/>
    <m/>
  </r>
  <r>
    <x v="1"/>
    <n v="4312120"/>
    <s v="wslits"/>
    <s v="Slits"/>
    <s v="W.S. Slits"/>
    <s v="Wouter"/>
    <x v="84"/>
    <s v="Homokineet"/>
    <s v="Tim Schuit"/>
    <d v="1995-05-08T00:00:00"/>
    <s v="Nederlandse"/>
    <s v="M"/>
    <s v="Theaterhof 16"/>
    <s v="4207 TM GORINCHEM"/>
    <s v="Nederland"/>
    <s v="wouter_slits@hotmail.com"/>
    <n v="-634983512"/>
    <n v="2013"/>
    <x v="1"/>
    <m/>
  </r>
  <r>
    <x v="1"/>
    <n v="4303962"/>
    <s v="fversluis"/>
    <s v="Versluis"/>
    <s v="F. Versluis"/>
    <s v="Floyd Versluis"/>
    <x v="84"/>
    <s v="Homokineet"/>
    <s v="Tim Schuit"/>
    <d v="1994-08-07T00:00:00"/>
    <s v="Nederlandse"/>
    <s v="M"/>
    <s v="Reigerlaan 21"/>
    <s v="2941 RH LEKKERKERK"/>
    <s v="Nederland"/>
    <s v="floversluis@hotmail.com"/>
    <n v="-623487634"/>
    <n v="2013"/>
    <x v="1"/>
    <m/>
  </r>
  <r>
    <x v="1"/>
    <n v="4307453"/>
    <s v="twanamarta"/>
    <s v="Wanamarta"/>
    <s v="T.C.W. Wanamarta"/>
    <s v="Tim"/>
    <x v="84"/>
    <s v="Homokineet"/>
    <s v="Tim Schuit"/>
    <d v="1994-11-24T00:00:00"/>
    <s v="Nederlandse"/>
    <s v="M"/>
    <s v="Eelderstraat 3"/>
    <s v="1171 JD BADHOEVEDORP"/>
    <s v="Nederland"/>
    <s v="tim.wanamarta@gmail.com"/>
    <n v="-639206995"/>
    <n v="2013"/>
    <x v="1"/>
    <m/>
  </r>
  <r>
    <x v="1"/>
    <n v="4194306"/>
    <s v="ddezanger"/>
    <s v="Zanger"/>
    <s v="D.J.M. de Zanger"/>
    <s v="Douwe"/>
    <x v="84"/>
    <s v="Homokineet"/>
    <s v="Tim Schuit"/>
    <d v="1990-07-05T00:00:00"/>
    <s v="Nederlandse"/>
    <s v="M"/>
    <m/>
    <m/>
    <m/>
    <m/>
    <m/>
    <n v="2013"/>
    <x v="1"/>
    <m/>
  </r>
  <r>
    <x v="1"/>
    <n v="4286545"/>
    <s v="tjammerlaan"/>
    <s v="Ammerlaan"/>
    <s v="T.J. Ammerlaan"/>
    <s v="Thomas"/>
    <x v="85"/>
    <s v="Homokineet"/>
    <s v="Tim Schuit"/>
    <d v="1994-02-20T00:00:00"/>
    <s v="Nederlandse"/>
    <s v="M"/>
    <s v="Marsmanstraat 7"/>
    <s v="1822 JE ALKMAAR"/>
    <s v="Nederland"/>
    <s v="thomas_ammerlaan@hotmail.com"/>
    <n v="-625036822"/>
    <n v="2013"/>
    <x v="1"/>
    <m/>
  </r>
  <r>
    <x v="1"/>
    <n v="4333039"/>
    <s v="sgratamavanand"/>
    <s v="Gratama van Andel"/>
    <s v="S.F. Gratama van Andel"/>
    <s v="Seerp"/>
    <x v="85"/>
    <s v="Homokineet"/>
    <s v="Tim Schuit"/>
    <d v="1994-10-15T00:00:00"/>
    <s v="Nederlandse"/>
    <s v="M"/>
    <s v="Krugerlaan 5"/>
    <s v="2806 EA GOUDA"/>
    <s v="Nederland"/>
    <s v="seerp.gva@hotmail.com"/>
    <n v="-650247128"/>
    <n v="2013"/>
    <x v="1"/>
    <m/>
  </r>
  <r>
    <x v="1"/>
    <n v="4148924"/>
    <s v="adhazel"/>
    <s v="Hazel"/>
    <s v="A.D. Hazel"/>
    <s v="Arsenio"/>
    <x v="85"/>
    <s v="Homokineet"/>
    <s v="Tim Schuit"/>
    <d v="1992-11-10T00:00:00"/>
    <s v="Nederlandse"/>
    <s v="M"/>
    <s v="Beukenwede 112"/>
    <s v="2993 TH BARENDRECHT"/>
    <s v="Nederland"/>
    <s v="arsenio.hazel@gmail.com"/>
    <n v="-623366230"/>
    <n v="2012"/>
    <x v="12"/>
    <m/>
  </r>
  <r>
    <x v="1"/>
    <n v="4208404"/>
    <s v="qheesemans"/>
    <s v="Hof"/>
    <s v="Q.V. van 't Hof"/>
    <s v="Quinten"/>
    <x v="85"/>
    <s v="Homokineet"/>
    <s v="Tim Schuit"/>
    <d v="1993-10-25T00:00:00"/>
    <s v="Nederlandse"/>
    <s v="M"/>
    <s v="Louise de Colignystraat 20"/>
    <s v="2641 GX PIJNACKER"/>
    <s v="Nederland"/>
    <s v="quino_vandijk@hotmail.com"/>
    <n v="-640973224"/>
    <n v="2012"/>
    <x v="2"/>
    <m/>
  </r>
  <r>
    <x v="1"/>
    <n v="4303849"/>
    <s v="akloppenburg"/>
    <s v="Kloppenburg"/>
    <s v="A.M. Kloppenburg"/>
    <s v="Alexander"/>
    <x v="85"/>
    <s v="Homokineet"/>
    <s v="Tim Schuit"/>
    <d v="1994-11-16T00:00:00"/>
    <s v="Nederlandse"/>
    <s v="M"/>
    <s v="Tillepaed 5"/>
    <s v="9258 CB JISTRUM"/>
    <s v="Nederland"/>
    <s v="alexander@famkloppenburg.nl"/>
    <n v="-612882259"/>
    <n v="2013"/>
    <x v="1"/>
    <m/>
  </r>
  <r>
    <x v="1"/>
    <n v="4299469"/>
    <s v="henriekramer"/>
    <s v="Kramer"/>
    <s v="H. Kramer"/>
    <s v="Henrie"/>
    <x v="85"/>
    <s v="Homokineet"/>
    <s v="Tim Schuit"/>
    <d v="1995-02-02T00:00:00"/>
    <s v="Nederlandse"/>
    <s v="M"/>
    <s v="Karel Doormanweg 60 d"/>
    <s v="8309 PD TOLLEBEEK"/>
    <s v="Nederland"/>
    <s v="h.kramer@live.nl"/>
    <m/>
    <n v="2013"/>
    <x v="1"/>
    <m/>
  </r>
  <r>
    <x v="1"/>
    <n v="1527193"/>
    <s v="jmofferman"/>
    <s v="Offerman"/>
    <s v="J.M. Offerman"/>
    <s v="Maurits"/>
    <x v="85"/>
    <s v="Homokineet"/>
    <s v="Tim Schuit"/>
    <d v="1987-11-03T00:00:00"/>
    <s v="Nederlandse"/>
    <s v="M"/>
    <m/>
    <m/>
    <m/>
    <m/>
    <s v="0611864715"/>
    <n v="2008"/>
    <x v="20"/>
    <m/>
  </r>
  <r>
    <x v="1"/>
    <n v="4320891"/>
    <s v="lvandervaart"/>
    <s v="Vaart"/>
    <s v="L.M.A. van der Vaart"/>
    <s v="Lennard"/>
    <x v="85"/>
    <s v="Homokineet"/>
    <s v="Tim Schuit"/>
    <d v="1994-07-25T00:00:00"/>
    <s v="Nederlandse"/>
    <s v="M"/>
    <s v="Twickellaan 4"/>
    <s v="7531 HV ENSCHEDE"/>
    <s v="Nederland"/>
    <s v="lennardvandervaart@hotmail.com"/>
    <m/>
    <n v="2013"/>
    <x v="1"/>
    <m/>
  </r>
  <r>
    <x v="1"/>
    <n v="4298764"/>
    <s v="fbouman"/>
    <s v="Bouman"/>
    <s v="F.F. Bouman"/>
    <s v="Foskien"/>
    <x v="86"/>
    <s v="Homokineet"/>
    <s v="Lotte Spaargaren"/>
    <d v="1995-08-22T00:00:00"/>
    <s v="Nederlandse"/>
    <s v="V"/>
    <s v="Westerhoutpark 3"/>
    <s v="2012 JL HAARLEM"/>
    <s v="Nederland"/>
    <s v="foskienbouman@hotmail.com"/>
    <n v="-651768809"/>
    <n v="2013"/>
    <x v="1"/>
    <m/>
  </r>
  <r>
    <x v="1"/>
    <n v="4276493"/>
    <s v="gdaswani"/>
    <s v="Daswani"/>
    <s v="G.S. Daswani"/>
    <s v="Gaurav"/>
    <x v="86"/>
    <s v="Homokineet"/>
    <s v="Lotte Spaargaren"/>
    <d v="1994-12-06T00:00:00"/>
    <s v="Nederlandse"/>
    <s v="M"/>
    <s v="Villapark Girouette 91A"/>
    <s v="Willemstad"/>
    <s v="Curaçao"/>
    <s v="gauravsd8@gmail.com"/>
    <n v="-96939687"/>
    <n v="2013"/>
    <x v="1"/>
    <m/>
  </r>
  <r>
    <x v="1"/>
    <n v="4315677"/>
    <s v="lheunks"/>
    <s v="Heunks"/>
    <s v="L. Heunks"/>
    <s v="Lex"/>
    <x v="86"/>
    <s v="Homokineet"/>
    <s v="Lotte Spaargaren"/>
    <d v="1995-06-20T00:00:00"/>
    <s v="Nederlandse"/>
    <s v="M"/>
    <s v="Oranje-Nassaulaan 103"/>
    <s v="5491 HM SINT OEDENRODE"/>
    <s v="Nederland"/>
    <s v="lexheunks@gmail.com"/>
    <n v="-657377487"/>
    <n v="2013"/>
    <x v="1"/>
    <m/>
  </r>
  <r>
    <x v="1"/>
    <n v="4288378"/>
    <s v="matsmulder"/>
    <s v="Mulder"/>
    <s v="M. Mulder"/>
    <s v="Mats"/>
    <x v="86"/>
    <s v="Homokineet"/>
    <s v="Lotte Spaargaren"/>
    <d v="1995-05-02T00:00:00"/>
    <s v="Nederlandse"/>
    <s v="M"/>
    <s v="Stijne van Sallandtstr 45"/>
    <s v="7431 GN DIEPENVEEN"/>
    <s v="Nederland"/>
    <s v="mats.mulder@live.nl"/>
    <n v="-611817068"/>
    <n v="2013"/>
    <x v="1"/>
    <m/>
  </r>
  <r>
    <x v="1"/>
    <n v="4310551"/>
    <s v="mcmulder"/>
    <s v="Mulder"/>
    <s v="M.C. Mulder"/>
    <s v="Casper"/>
    <x v="86"/>
    <s v="Homokineet"/>
    <s v="Lotte Spaargaren"/>
    <d v="1995-06-17T00:00:00"/>
    <s v="Nederlandse"/>
    <s v="M"/>
    <s v="Hofsteeweg 7"/>
    <s v="5406 TX UDEN"/>
    <s v="Nederland"/>
    <s v="caspermulder95@hotmail.com"/>
    <n v="-657976158"/>
    <n v="2013"/>
    <x v="1"/>
    <m/>
  </r>
  <r>
    <x v="1"/>
    <n v="4233891"/>
    <s v="adksingh"/>
    <s v="Singh"/>
    <s v="A. Singh"/>
    <s v="Aman"/>
    <x v="86"/>
    <s v="Homokineet"/>
    <s v="Lotte Spaargaren"/>
    <d v="1994-05-14T00:00:00"/>
    <s v="Nederlandse"/>
    <s v="V"/>
    <m/>
    <m/>
    <m/>
    <m/>
    <m/>
    <n v="2013"/>
    <x v="2"/>
    <m/>
  </r>
  <r>
    <x v="1"/>
    <n v="4298837"/>
    <s v="etrumpie"/>
    <s v="Trumpie"/>
    <s v="E. Trumpie"/>
    <s v="Errol"/>
    <x v="86"/>
    <s v="Homokineet"/>
    <s v="Lotte Spaargaren"/>
    <d v="1995-01-26T00:00:00"/>
    <s v="Nederlandse"/>
    <s v="M"/>
    <s v="Van Heuven Goedhartlaan 157"/>
    <s v="1181 KK AMSTELVEEN"/>
    <s v="Nederland"/>
    <s v="ertrumpie@gmail.com"/>
    <n v="-634272856"/>
    <n v="2013"/>
    <x v="1"/>
    <m/>
  </r>
  <r>
    <x v="1"/>
    <n v="4291387"/>
    <s v="kvandervlist"/>
    <s v="Vlist"/>
    <s v="K.J. van der Vlist"/>
    <s v="Klaas Jan"/>
    <x v="86"/>
    <s v="Homokineet"/>
    <s v="Lotte Spaargaren"/>
    <d v="1995-05-11T00:00:00"/>
    <s v="Nederlandse"/>
    <s v="M"/>
    <s v="Laantje 13"/>
    <s v="4225 PC NOORDELOOS"/>
    <s v="Nederland"/>
    <s v="klaasjanvdvlist@gmail.com"/>
    <n v="-641861959"/>
    <n v="2013"/>
    <x v="1"/>
    <m/>
  </r>
  <r>
    <x v="1"/>
    <n v="4327497"/>
    <s v="kgoorden"/>
    <s v="Goorden"/>
    <s v="K. Goorden"/>
    <s v="Kristie"/>
    <x v="87"/>
    <s v="Homokineet"/>
    <s v="Lotte Spaargaren"/>
    <d v="1995-06-04T00:00:00"/>
    <s v="Nederlandse"/>
    <s v="V"/>
    <s v="Zijde 282"/>
    <s v="2771 EW BOSKOOP"/>
    <s v="Nederland"/>
    <s v="kristie.goorden@live.nl"/>
    <n v="-631249907"/>
    <n v="2013"/>
    <x v="1"/>
    <m/>
  </r>
  <r>
    <x v="1"/>
    <n v="4334280"/>
    <s v="slie"/>
    <s v="Lie"/>
    <s v="S.S.J.M. Lie"/>
    <s v="Jeremy"/>
    <x v="87"/>
    <s v="Homokineet"/>
    <s v="Lotte Spaargaren"/>
    <d v="1994-07-05T00:00:00"/>
    <s v="Nederlandse"/>
    <s v="M"/>
    <s v="Tiendweg 5"/>
    <s v="2671 SB NAALDWIJK"/>
    <s v="Nederland"/>
    <s v="jeremy_lie@hotmail.com"/>
    <n v="-648148095"/>
    <n v="2013"/>
    <x v="1"/>
    <m/>
  </r>
  <r>
    <x v="1"/>
    <n v="4303091"/>
    <s v="phnguyen"/>
    <s v="Nguyen"/>
    <s v="P.H. Nguyen"/>
    <s v="Hoang"/>
    <x v="87"/>
    <s v="Homokineet"/>
    <s v="Lotte Spaargaren"/>
    <d v="1994-10-27T00:00:00"/>
    <s v="Nederlandse"/>
    <s v="M"/>
    <s v="Suikerberk 15"/>
    <s v="4881 XH ZUNDERT"/>
    <s v="Nederland"/>
    <s v="hoang19@live.nl"/>
    <n v="-681066651"/>
    <n v="2013"/>
    <x v="1"/>
    <m/>
  </r>
  <r>
    <x v="1"/>
    <n v="4290917"/>
    <s v="loortwijn"/>
    <s v="Oortwijn"/>
    <s v="L. Oortwijn"/>
    <s v="Lars"/>
    <x v="87"/>
    <s v="Homokineet"/>
    <s v="Lotte Spaargaren"/>
    <d v="1995-03-06T00:00:00"/>
    <s v="Nederlandse"/>
    <s v="M"/>
    <s v="Heilaarstraat 100"/>
    <s v="4813 AW BREDA"/>
    <s v="Nederland"/>
    <s v="lars_oortwijn@hotmail.com"/>
    <n v="-18682751165"/>
    <n v="2013"/>
    <x v="1"/>
    <m/>
  </r>
  <r>
    <x v="1"/>
    <n v="4289188"/>
    <s v="froel"/>
    <s v="Roël"/>
    <s v="F. Roël"/>
    <s v="Felix"/>
    <x v="87"/>
    <s v="Homokineet"/>
    <s v="Lotte Spaargaren"/>
    <d v="1995-01-15T00:00:00"/>
    <s v="Nederlandse"/>
    <s v="M"/>
    <s v="Valkenboskade 183"/>
    <s v="2563 HA 'S-GRAVENHAGE"/>
    <s v="Nederland"/>
    <s v="felix.xilef1995@gmail.com"/>
    <n v="-631267576"/>
    <n v="2013"/>
    <x v="1"/>
    <m/>
  </r>
  <r>
    <x v="1"/>
    <n v="4234324"/>
    <s v="isaeed"/>
    <s v="Saeed"/>
    <s v="I. Saeed"/>
    <s v="Iram"/>
    <x v="87"/>
    <s v="Homokineet"/>
    <s v="Lotte Spaargaren"/>
    <d v="1994-04-29T00:00:00"/>
    <s v="Nederlandse"/>
    <s v="V"/>
    <m/>
    <m/>
    <m/>
    <m/>
    <m/>
    <n v="2013"/>
    <x v="2"/>
    <m/>
  </r>
  <r>
    <x v="1"/>
    <n v="4220234"/>
    <s v="bvanderscheer"/>
    <s v="Scheer"/>
    <s v="B.H. van der Scheer"/>
    <s v="Bor"/>
    <x v="87"/>
    <s v="Homokineet"/>
    <s v="Lotte Spaargaren"/>
    <d v="1992-10-01T00:00:00"/>
    <s v="Nederlandse"/>
    <s v="M"/>
    <s v="Kerkpad ZZ 39"/>
    <s v="3764 AM SOEST"/>
    <s v="Nederland"/>
    <s v="bor_scheer@live.nl"/>
    <n v="-655355056"/>
    <n v="2012"/>
    <x v="10"/>
    <m/>
  </r>
  <r>
    <x v="1"/>
    <n v="4277244"/>
    <s v="pvugts"/>
    <s v="Vugts"/>
    <s v="P. Vugts"/>
    <s v="Pim"/>
    <x v="87"/>
    <s v="Homokineet"/>
    <s v="Lotte Spaargaren"/>
    <d v="1995-05-04T00:00:00"/>
    <s v="Nederlandse"/>
    <s v="M"/>
    <s v="E. du Perronstraat 15"/>
    <s v="1321 BK ALMERE"/>
    <s v="Nederland"/>
    <s v="pim.vugts@live.nl"/>
    <n v="-623172145"/>
    <n v="2013"/>
    <x v="1"/>
    <m/>
  </r>
  <r>
    <x v="1"/>
    <n v="4218841"/>
    <m/>
    <s v="Blok"/>
    <s v="R.A. Blok"/>
    <s v="Robin"/>
    <x v="88"/>
    <s v="Homokineet"/>
    <s v="Jason Toelen"/>
    <m/>
    <m/>
    <s v="M"/>
    <m/>
    <m/>
    <m/>
    <m/>
    <m/>
    <n v="2012"/>
    <x v="13"/>
    <m/>
  </r>
  <r>
    <x v="1"/>
    <n v="4295935"/>
    <s v="fboon"/>
    <s v="Boon"/>
    <s v="F.C.M. Boon"/>
    <s v="Floor"/>
    <x v="88"/>
    <s v="Homokineet"/>
    <s v="Jason Toelen"/>
    <d v="1995-04-16T00:00:00"/>
    <s v="Nederlandse"/>
    <s v="V"/>
    <s v="Van Limburg Stirumstraat 12"/>
    <s v="3581 VB UTRECHT"/>
    <s v="Nederland"/>
    <s v="floortje-boon@hotmail.com"/>
    <n v="-627506629"/>
    <n v="2013"/>
    <x v="1"/>
    <m/>
  </r>
  <r>
    <x v="1"/>
    <n v="4280385"/>
    <s v="iburgers"/>
    <s v="Burgers"/>
    <s v="I.A.E. Burgers"/>
    <s v="Iris"/>
    <x v="88"/>
    <s v="Homokineet"/>
    <s v="Jason Toelen"/>
    <d v="1995-01-06T00:00:00"/>
    <s v="Nederlandse"/>
    <s v="V"/>
    <s v="Romeweg 10"/>
    <s v="5632 RP EINDHOVEN"/>
    <s v="Nederland"/>
    <s v="irisburgers95@gmail.com"/>
    <n v="-627878615"/>
    <n v="2013"/>
    <x v="1"/>
    <m/>
  </r>
  <r>
    <x v="1"/>
    <n v="4281985"/>
    <s v="tdeelstra"/>
    <s v="Deelstra"/>
    <s v="T. Deelstra"/>
    <s v="Tim"/>
    <x v="88"/>
    <s v="Homokineet"/>
    <s v="Jason Toelen"/>
    <d v="1995-02-13T00:00:00"/>
    <s v="Nederlandse"/>
    <s v="M"/>
    <s v="Ringslang 120"/>
    <s v="1187 BT AMSTELVEEN"/>
    <s v="Nederland"/>
    <s v="deelstratim@gmail.com"/>
    <n v="-631040892"/>
    <n v="2013"/>
    <x v="1"/>
    <m/>
  </r>
  <r>
    <x v="1"/>
    <n v="4248651"/>
    <s v="jornevers"/>
    <s v="Evers"/>
    <s v="J.J. Evers"/>
    <s v="Jorn"/>
    <x v="88"/>
    <s v="Homokineet"/>
    <s v="Jason Toelen"/>
    <d v="1994-07-31T00:00:00"/>
    <s v="Nederlandse"/>
    <s v="M"/>
    <s v="Heemraadssingel 119 BY"/>
    <s v="3022 CC ROTTERDAM"/>
    <s v="Nederland"/>
    <s v="jornjanevers@hotmail.com"/>
    <n v="-625357020"/>
    <n v="2013"/>
    <x v="1"/>
    <m/>
  </r>
  <r>
    <x v="1"/>
    <n v="4125053"/>
    <s v="dhensens"/>
    <s v="Hensens"/>
    <s v="D. Hensens"/>
    <s v="David"/>
    <x v="88"/>
    <s v="Homokineet"/>
    <s v="Jason Toelen"/>
    <d v="1992-09-03T00:00:00"/>
    <s v="Nederlandse"/>
    <s v="M"/>
    <m/>
    <m/>
    <m/>
    <s v="davidhensens@gmail.com"/>
    <n v="653554699"/>
    <n v="2013"/>
    <x v="1"/>
    <s v="voor 2e semester 2012 gestopt"/>
  </r>
  <r>
    <x v="1"/>
    <n v="4309677"/>
    <s v="mjvanderlinden"/>
    <s v="Linden"/>
    <s v="M.J. van der Linden"/>
    <s v="Max"/>
    <x v="88"/>
    <s v="Homokineet"/>
    <s v="Jason Toelen"/>
    <d v="1994-11-19T00:00:00"/>
    <s v="Nederlandse"/>
    <s v="M"/>
    <s v="Bussummerstraat 27"/>
    <s v="1411 PL NAARDEN"/>
    <s v="Nederland"/>
    <s v="maxieman_@hotmail.com"/>
    <n v="-652556024"/>
    <n v="2013"/>
    <x v="1"/>
    <m/>
  </r>
  <r>
    <x v="1"/>
    <n v="4313968"/>
    <s v="robertvanwijk"/>
    <s v="Wijk"/>
    <s v="R.J. van Wijk"/>
    <s v="Robert"/>
    <x v="88"/>
    <s v="Homokineet"/>
    <s v="Jason Toelen"/>
    <d v="1994-01-20T00:00:00"/>
    <s v="Nederlandse"/>
    <s v="M"/>
    <s v="Cypergrasweg 35"/>
    <s v="1313 AK ALMERE"/>
    <s v="Nederland"/>
    <s v="r_van_wijk@msn.com"/>
    <n v="-631560748"/>
    <n v="2013"/>
    <x v="1"/>
    <m/>
  </r>
  <r>
    <x v="1"/>
    <n v="4304136"/>
    <s v="pbadaltjawdhar"/>
    <s v="Badaltjawdharie"/>
    <s v="P.W. Badaltjawdharie"/>
    <s v="Prashant"/>
    <x v="89"/>
    <s v="Homokineet"/>
    <s v="Jason Toelen"/>
    <d v="1993-04-11T00:00:00"/>
    <s v="Nederlandse"/>
    <s v="M"/>
    <s v="Ringspoor 172"/>
    <s v="2908 BC CAPELLE AAN DEN IJSSEL"/>
    <s v="Nederland"/>
    <s v="pradelft@gmail.com"/>
    <n v="-624126062"/>
    <n v="2013"/>
    <x v="1"/>
    <m/>
  </r>
  <r>
    <x v="1"/>
    <n v="4302087"/>
    <s v="rcornet"/>
    <s v="Cornet"/>
    <s v="R. Cornet"/>
    <s v="Robert"/>
    <x v="89"/>
    <s v="Homokineet"/>
    <s v="Jason Toelen"/>
    <d v="1995-04-27T00:00:00"/>
    <s v="Nederlandse"/>
    <s v="M"/>
    <s v="'t Magesijn 38"/>
    <s v="4791 KJ KLUNDERT"/>
    <s v="Nederland"/>
    <s v="robertcornet@live.nl"/>
    <n v="-624969525"/>
    <n v="2013"/>
    <x v="1"/>
    <m/>
  </r>
  <r>
    <x v="1"/>
    <n v="4332059"/>
    <s v="nhuisman"/>
    <s v="Huisman"/>
    <s v="N. Huisman"/>
    <s v="Niek"/>
    <x v="89"/>
    <s v="Homokineet"/>
    <s v="Jason Toelen"/>
    <d v="1994-11-24T00:00:00"/>
    <s v="Nederlandse"/>
    <s v="M"/>
    <s v="Binnendams 9"/>
    <s v="3373 AB HARDINXVELD-GIESSENDAM"/>
    <s v="Nederland"/>
    <s v="niekhuisman@hotmail.com"/>
    <n v="-638283344"/>
    <n v="2013"/>
    <x v="1"/>
    <m/>
  </r>
  <r>
    <x v="1"/>
    <n v="4333462"/>
    <s v="majwjanssen"/>
    <s v="Janssen"/>
    <s v="M.A.J.W. Janssen"/>
    <s v="Marieke"/>
    <x v="89"/>
    <s v="Homokineet"/>
    <s v="Jason Toelen"/>
    <d v="1992-09-10T00:00:00"/>
    <s v="Nederlandse"/>
    <s v="V"/>
    <s v="Populierenlaan 17"/>
    <s v="2631 HW NOOTDORP"/>
    <s v="Nederland"/>
    <s v="marieke_janssen_1992@hotmail.com"/>
    <n v="-653689012"/>
    <n v="2013"/>
    <x v="1"/>
    <m/>
  </r>
  <r>
    <x v="1"/>
    <n v="4307356"/>
    <s v="akhalik"/>
    <s v="Khalik"/>
    <s v="A. Khalik"/>
    <s v="Alan"/>
    <x v="89"/>
    <s v="Homokineet"/>
    <s v="Jason Toelen"/>
    <d v="1994-09-11T00:00:00"/>
    <s v="Nederlandse"/>
    <s v="M"/>
    <s v="Sweelinckstraat 5"/>
    <s v="2912 VJ NIEUWERKERK AD IJSSEL"/>
    <s v="Nederland"/>
    <s v="alanhawlery@hotmail.com"/>
    <n v="-683102358"/>
    <n v="2013"/>
    <x v="1"/>
    <m/>
  </r>
  <r>
    <x v="1"/>
    <n v="4300149"/>
    <s v="mvanlangevelde"/>
    <s v="Langevelde"/>
    <s v="M. van Langevelde"/>
    <s v="Martin"/>
    <x v="89"/>
    <s v="Homokineet"/>
    <s v="Jason Toelen"/>
    <d v="1994-10-23T00:00:00"/>
    <s v="Nederlandse"/>
    <s v="M"/>
    <s v="Zonnemare 39"/>
    <s v="4571 CW AXEL"/>
    <s v="Nederland"/>
    <s v="mvlangevelde@gmail.com"/>
    <n v="-623596330"/>
    <n v="2013"/>
    <x v="1"/>
    <m/>
  </r>
  <r>
    <x v="1"/>
    <n v="4253965"/>
    <s v="fvanriessen"/>
    <s v="Riessen"/>
    <s v="F. van Riessen"/>
    <s v="Felix"/>
    <x v="89"/>
    <s v="Homokineet"/>
    <s v="Jason Toelen"/>
    <m/>
    <m/>
    <s v="M"/>
    <m/>
    <m/>
    <m/>
    <s v="felixvanriessengurung@gmail.com"/>
    <n v="636110335"/>
    <n v="2013"/>
    <x v="1"/>
    <m/>
  </r>
  <r>
    <x v="1"/>
    <n v="4314298"/>
    <s v="muittenbogaard"/>
    <s v="Uittenbogaard"/>
    <s v="M.C. Uittenbogaard"/>
    <s v="Ries"/>
    <x v="89"/>
    <s v="Homokineet"/>
    <s v="Jason Toelen"/>
    <d v="1995-03-04T00:00:00"/>
    <s v="Nederlandse"/>
    <s v="M"/>
    <s v="Noordzijde 112"/>
    <s v="4225 PM NOORDELOOS"/>
    <s v="Nederland"/>
    <s v="riesuittenbogaard@hotmail.com"/>
    <n v="-652170977"/>
    <n v="2013"/>
    <x v="1"/>
    <m/>
  </r>
  <r>
    <x v="1"/>
    <n v="4318978"/>
    <s v="gblokland"/>
    <s v="Blokland"/>
    <s v="G. Blokland"/>
    <s v="Geert"/>
    <x v="90"/>
    <s v="Homokineet"/>
    <s v="Karel van Leeuwe"/>
    <d v="1995-04-24T00:00:00"/>
    <s v="Nederlandse"/>
    <s v="M"/>
    <s v="Nieuwendijk 12"/>
    <s v="4225 PE NOORDELOOS"/>
    <s v="Nederland"/>
    <s v="geertblokland@hotmail.com"/>
    <n v="-630432893"/>
    <n v="2013"/>
    <x v="1"/>
    <m/>
  </r>
  <r>
    <x v="1"/>
    <n v="4235711"/>
    <s v="jjaeble"/>
    <s v="Eble"/>
    <s v="J.J.A. Eble"/>
    <s v="Jeroen"/>
    <x v="90"/>
    <s v="Homokineet"/>
    <s v="Karel van Leeuwe"/>
    <m/>
    <m/>
    <s v="M"/>
    <m/>
    <m/>
    <m/>
    <m/>
    <m/>
    <n v="2013"/>
    <x v="1"/>
    <s v="voor 2e semester 2012 gestopt"/>
  </r>
  <r>
    <x v="1"/>
    <n v="4222091"/>
    <s v="fhugenholtz"/>
    <s v="Hugenholtz"/>
    <s v="F.W. Hugenholtz"/>
    <s v="Frederique"/>
    <x v="90"/>
    <s v="Homokineet"/>
    <s v="Karel van Leeuwe"/>
    <d v="1993-09-21T00:00:00"/>
    <s v="Nederlandse"/>
    <s v="V"/>
    <s v="Nieuwstraat 13"/>
    <s v="2611 HK DELFT"/>
    <s v="Nederland"/>
    <s v="frederiquewh@gmail.com"/>
    <n v="-630360338"/>
    <n v="2012"/>
    <x v="2"/>
    <m/>
  </r>
  <r>
    <x v="1"/>
    <n v="4232089"/>
    <s v="jjagt"/>
    <s v="Jagt"/>
    <s v="J.E. Jagt"/>
    <s v="Jelle"/>
    <x v="90"/>
    <s v="Homokineet"/>
    <s v="Karel van Leeuwe"/>
    <d v="1993-05-07T00:00:00"/>
    <s v="Nederlandse"/>
    <s v="M"/>
    <m/>
    <m/>
    <m/>
    <m/>
    <m/>
    <n v="2012"/>
    <x v="20"/>
    <m/>
  </r>
  <r>
    <x v="1"/>
    <n v="4158377"/>
    <s v="eschrader"/>
    <s v="Schrader"/>
    <s v="E.J. Schrader"/>
    <s v="Ewald"/>
    <x v="90"/>
    <s v="Homokineet"/>
    <s v="Karel van Leeuwe"/>
    <d v="1993-09-09T00:00:00"/>
    <s v="Nederlandse"/>
    <s v="M"/>
    <s v="Binnenwatersloot 14 A"/>
    <s v="2611 BK DELFT"/>
    <s v="Nederland"/>
    <s v="ewald_schrader@hotmail.com"/>
    <n v="-630035992"/>
    <n v="2011"/>
    <x v="21"/>
    <m/>
  </r>
  <r>
    <x v="1"/>
    <n v="4289625"/>
    <s v="tvansorge"/>
    <s v="Sorge"/>
    <s v="J.M. van Sorge"/>
    <s v="Ties"/>
    <x v="90"/>
    <s v="Homokineet"/>
    <s v="Karel van Leeuwe"/>
    <d v="1995-06-23T00:00:00"/>
    <s v="Nederlandse"/>
    <s v="M"/>
    <s v="Schadeken 201"/>
    <s v="2264 KM LEIDSCHENDAM"/>
    <s v="Nederland"/>
    <s v="tvsorge@hotmail.com"/>
    <n v="-616617777"/>
    <n v="2013"/>
    <x v="1"/>
    <m/>
  </r>
  <r>
    <x v="1"/>
    <n v="4276078"/>
    <s v="jhvanstraalen"/>
    <s v="Straalen"/>
    <s v="J.H. van Straalen"/>
    <s v="Janiek"/>
    <x v="90"/>
    <s v="Homokineet"/>
    <s v="Karel van Leeuwe"/>
    <d v="1995-06-15T00:00:00"/>
    <s v="Nederlandse"/>
    <s v="V"/>
    <s v="Merelplein 7"/>
    <s v="2771 SB BOSKOOP"/>
    <s v="Nederland"/>
    <s v="janiekvanstraalen@live.nl"/>
    <n v="-683062092"/>
    <n v="2013"/>
    <x v="1"/>
    <m/>
  </r>
  <r>
    <x v="1"/>
    <n v="4309863"/>
    <s v="jmvanderzwet"/>
    <s v="Zwet"/>
    <s v="N.H. Neijmeijer"/>
    <s v="Joran"/>
    <x v="90"/>
    <s v="Homokineet"/>
    <s v="Karel van Leeuwe"/>
    <d v="1996-07-14T00:00:00"/>
    <s v="Nederlandse"/>
    <s v="M"/>
    <s v="Joris Ivenslaan 39"/>
    <s v="1325 LX ALMERE"/>
    <s v="Nederland"/>
    <s v="joran1407@hotmail.com"/>
    <n v="-638628503"/>
    <n v="2013"/>
    <x v="1"/>
    <m/>
  </r>
  <r>
    <x v="1"/>
    <n v="4251253"/>
    <s v="graboen"/>
    <s v="Baboen"/>
    <s v="G.K. Baboen"/>
    <s v="Giarsio"/>
    <x v="91"/>
    <s v="Homokineet"/>
    <s v="Karel van Leeuwe"/>
    <d v="1992-06-10T00:00:00"/>
    <s v="Nederlandse"/>
    <s v="M"/>
    <m/>
    <m/>
    <m/>
    <m/>
    <m/>
    <n v="2013"/>
    <x v="1"/>
    <s v="voor 2e semester 2012 gestopt"/>
  </r>
  <r>
    <x v="1"/>
    <n v="4294920"/>
    <s v="mbom"/>
    <s v="Bom"/>
    <s v="M.A. Bom"/>
    <s v="Mitchel"/>
    <x v="91"/>
    <s v="Homokineet"/>
    <s v="Karel van Leeuwe"/>
    <d v="1995-05-10T00:00:00"/>
    <s v="Nederlandse"/>
    <s v="M"/>
    <s v="IJsdans 32"/>
    <s v="2907 AZ CAPELLE AAN DEN IJSSEL"/>
    <s v="Nederland"/>
    <s v="mitchel.bom@live.nl"/>
    <n v="-619823420"/>
    <n v="2013"/>
    <x v="1"/>
    <m/>
  </r>
  <r>
    <x v="1"/>
    <n v="4301773"/>
    <s v="hpajansen"/>
    <s v="Jansen"/>
    <s v="H.P.A. Jansen"/>
    <s v="Hilde"/>
    <x v="91"/>
    <s v="Homokineet"/>
    <s v="Karel van Leeuwe"/>
    <d v="1995-03-17T00:00:00"/>
    <s v="Nederlandse"/>
    <s v="V"/>
    <s v="Dintel 15"/>
    <s v="5504 ME VELDHOVEN"/>
    <s v="Nederland"/>
    <s v="hildekejansen@hotmail.com"/>
    <n v="-620009411"/>
    <n v="2013"/>
    <x v="1"/>
    <m/>
  </r>
  <r>
    <x v="1"/>
    <n v="4291735"/>
    <s v="djeurissen"/>
    <s v="Jeurissen"/>
    <s v="D.K. Jeurissen"/>
    <s v="Damiaan"/>
    <x v="91"/>
    <s v="Homokineet"/>
    <s v="Karel van Leeuwe"/>
    <d v="1994-01-05T00:00:00"/>
    <s v="Nederlandse"/>
    <s v="M"/>
    <s v="Schiebroekselaan 42"/>
    <s v="3037 RN ROTTERDAM"/>
    <s v="Nederland"/>
    <s v="damiaap@hotmail.com"/>
    <n v="-643431862"/>
    <n v="2013"/>
    <x v="1"/>
    <m/>
  </r>
  <r>
    <x v="1"/>
    <n v="4315359"/>
    <s v="bkieft"/>
    <s v="Kieft"/>
    <s v="B. Kieft"/>
    <s v="Bas"/>
    <x v="91"/>
    <s v="Homokineet"/>
    <s v="Karel van Leeuwe"/>
    <d v="1994-01-24T00:00:00"/>
    <s v="Nederlandse"/>
    <s v="M"/>
    <s v="Zaanenlaan 68"/>
    <s v="2024 ZC HAARLEM"/>
    <s v="Nederland"/>
    <s v="bassiokieft@hotmail.com"/>
    <n v="-646383299"/>
    <n v="2013"/>
    <x v="1"/>
    <m/>
  </r>
  <r>
    <x v="1"/>
    <n v="4232852"/>
    <s v="hmartens"/>
    <s v="Martens"/>
    <s v="H.B. Martens"/>
    <s v="Hylke"/>
    <x v="91"/>
    <s v="Homokineet"/>
    <s v="Karel van Leeuwe"/>
    <d v="1994-04-30T00:00:00"/>
    <s v="Nederlandse"/>
    <s v="M"/>
    <s v="Zwinglilaan 83"/>
    <s v="1216 MC HILVERSUM"/>
    <s v="Nederland"/>
    <s v="hylkem@live.nl"/>
    <n v="-623613504"/>
    <n v="2012"/>
    <x v="2"/>
    <m/>
  </r>
  <r>
    <x v="1"/>
    <n v="4221621"/>
    <s v="bovaa"/>
    <s v="Ovaa"/>
    <s v="B. Ovaa"/>
    <s v="bart"/>
    <x v="91"/>
    <s v="Homokineet"/>
    <s v="Karel van Leeuwe"/>
    <d v="1993-03-23T00:00:00"/>
    <s v="Nederlandse"/>
    <s v="M"/>
    <s v="Zandweg 39"/>
    <s v="4389 TG RITTHEM"/>
    <s v="Nederland"/>
    <s v="andreovaa@online.nl"/>
    <n v="-622019392"/>
    <n v="2012"/>
    <x v="2"/>
    <m/>
  </r>
  <r>
    <x v="1"/>
    <n v="4221737"/>
    <s v="cdebeer"/>
    <s v="Beer"/>
    <s v="C.J. de Beer"/>
    <s v="Carlo"/>
    <x v="92"/>
    <s v="Homokineet"/>
    <s v="Sander Vieveen"/>
    <d v="1993-02-07T00:00:00"/>
    <s v="Nederlandse"/>
    <s v="M"/>
    <s v="Goudenregenstraat 1"/>
    <s v="1431 RR AALSMEER"/>
    <s v="Nederland"/>
    <s v="carlodebeer@gmail.com"/>
    <n v="-646740271"/>
    <n v="2013"/>
    <x v="1"/>
    <m/>
  </r>
  <r>
    <x v="1"/>
    <n v="4232046"/>
    <s v="jacroese"/>
    <s v="Croese"/>
    <s v="J.A. Croese"/>
    <s v="Joël"/>
    <x v="92"/>
    <s v="Homokineet"/>
    <s v="Sander Vieveen"/>
    <d v="1993-11-27T00:00:00"/>
    <s v="Nederlandse"/>
    <s v="M"/>
    <s v="Oudraadtweg 3"/>
    <s v="2612 SL DELFT"/>
    <s v="Nederland"/>
    <s v="joel.croese@gmail.com"/>
    <n v="-646385659"/>
    <n v="2012"/>
    <x v="2"/>
    <m/>
  </r>
  <r>
    <x v="1"/>
    <n v="4281853"/>
    <s v="lvanbellen"/>
    <s v="Bellen"/>
    <s v="L.A.H. van Bellen"/>
    <s v="Laura"/>
    <x v="92"/>
    <s v="Homokineet"/>
    <s v="Sander Vieveen"/>
    <m/>
    <m/>
    <s v="V"/>
    <m/>
    <m/>
    <m/>
    <m/>
    <m/>
    <n v="2013"/>
    <x v="12"/>
    <m/>
  </r>
  <r>
    <x v="1"/>
    <n v="4250583"/>
    <s v="rlafkiri"/>
    <s v="Lafkiri"/>
    <s v="R. Lafkiri"/>
    <s v="Redouan"/>
    <x v="92"/>
    <s v="Homokineet"/>
    <s v="Sander Vieveen"/>
    <d v="1992-10-01T00:00:00"/>
    <s v="Nederlandse"/>
    <s v="M"/>
    <s v="Herculesstraat 220"/>
    <s v="2402 VW ALPHEN AAN DEN RIJN"/>
    <s v="Nederland"/>
    <s v="riduanlafkiri@hotmail.com"/>
    <n v="-645558250"/>
    <n v="2012"/>
    <x v="0"/>
    <m/>
  </r>
  <r>
    <x v="1"/>
    <n v="4271653"/>
    <s v="nneijmeijer"/>
    <s v="Neijmeijer"/>
    <s v="N.H. Neijmeijer"/>
    <s v="Nout"/>
    <x v="92"/>
    <s v="Homokineet"/>
    <s v="Sander Vieveen"/>
    <d v="1995-02-07T00:00:00"/>
    <s v="Nederlandse"/>
    <s v="M"/>
    <s v="Nuenderbeekselaan 1"/>
    <s v="5673 RC NUENEN"/>
    <s v="Nederland"/>
    <s v="nout_iemand@live.nl"/>
    <n v="-646688756"/>
    <n v="2013"/>
    <x v="1"/>
    <m/>
  </r>
  <r>
    <x v="1"/>
    <n v="4308611"/>
    <s v="mschoustra"/>
    <s v="Schoustra"/>
    <s v="M. Schoustra"/>
    <s v="Michael"/>
    <x v="92"/>
    <s v="Homokineet"/>
    <s v="Sander Vieveen"/>
    <d v="1995-03-07T00:00:00"/>
    <s v="Nederlandse"/>
    <s v="M"/>
    <s v="Wisselspoor 309"/>
    <s v="2908 AD CAPELLE AAN DEN IJSSEL"/>
    <s v="Nederland"/>
    <s v="mikeschoustra@gmail.com"/>
    <n v="-641284765"/>
    <n v="2013"/>
    <x v="1"/>
    <m/>
  </r>
  <r>
    <x v="1"/>
    <n v="4226283"/>
    <s v="bspitz"/>
    <s v="Spitz"/>
    <s v="B. Spitz"/>
    <s v="Bob"/>
    <x v="92"/>
    <s v="Homokineet"/>
    <s v="Sander Vieveen"/>
    <d v="1993-07-10T00:00:00"/>
    <s v="Nederlandse"/>
    <s v="M"/>
    <s v="In de Wolken 346"/>
    <s v="1186 BT AMSTELVEEN"/>
    <s v="Nederland"/>
    <s v="spitz.bob@gmail.com"/>
    <n v="-652627640"/>
    <n v="2013"/>
    <x v="1"/>
    <m/>
  </r>
  <r>
    <x v="1"/>
    <n v="4291395"/>
    <s v="mphbecker"/>
    <s v="Becker"/>
    <s v="M.P.H. Becker"/>
    <s v="Midas"/>
    <x v="93"/>
    <s v="Homokineet"/>
    <s v="Sander Vieveen"/>
    <d v="1995-02-12T00:00:00"/>
    <s v="Nederlandse"/>
    <s v="M"/>
    <s v="Boslaan 12"/>
    <s v="3701 CJ ZEIST"/>
    <s v="Nederland"/>
    <s v="midasbecker@gmail.com"/>
    <n v="-615629908"/>
    <n v="2013"/>
    <x v="1"/>
    <m/>
  </r>
  <r>
    <x v="1"/>
    <n v="4302575"/>
    <s v="jboelhouwers"/>
    <s v="Boelhouwers"/>
    <s v="J.E. Boelhouwers"/>
    <s v="Jules"/>
    <x v="93"/>
    <s v="Homokineet"/>
    <s v="Sander Vieveen"/>
    <d v="1995-04-22T00:00:00"/>
    <s v="Nederlandse"/>
    <s v="M"/>
    <s v="Langenberg 6"/>
    <s v="8051 AV HATTEM"/>
    <s v="Nederland"/>
    <s v="jules_espen@hotmail.com"/>
    <n v="-623248782"/>
    <n v="2013"/>
    <x v="1"/>
    <m/>
  </r>
  <r>
    <x v="1"/>
    <n v="4130251"/>
    <s v="lgoosens"/>
    <s v="Goosens"/>
    <s v="L.R. Goosens"/>
    <s v="Lennart"/>
    <x v="93"/>
    <s v="Homokineet"/>
    <s v="Sander Vieveen"/>
    <d v="1991-03-05T00:00:00"/>
    <s v="Nederlandse"/>
    <s v="M"/>
    <m/>
    <m/>
    <m/>
    <m/>
    <m/>
    <n v="2010"/>
    <x v="20"/>
    <m/>
  </r>
  <r>
    <x v="1"/>
    <n v="4304519"/>
    <s v="woltheten"/>
    <s v="Oltheten"/>
    <s v="W.G.H. Oltheten"/>
    <s v="Wouter"/>
    <x v="93"/>
    <s v="Homokineet"/>
    <s v="Sander Vieveen"/>
    <d v="1995-08-11T00:00:00"/>
    <s v="Nederlandse"/>
    <s v="M"/>
    <s v="Middendorperweg 14"/>
    <s v="7478 PK DIEPENHEIM"/>
    <s v="Nederland"/>
    <s v="w.oltheten@planet.nl"/>
    <n v="-652209800"/>
    <n v="2013"/>
    <x v="1"/>
    <m/>
  </r>
  <r>
    <x v="1"/>
    <n v="4305639"/>
    <s v="dtetteroo"/>
    <s v="Tetteroo"/>
    <s v="D.W. Tetteroo"/>
    <s v="Daan"/>
    <x v="93"/>
    <s v="Homokineet"/>
    <s v="Sander Vieveen"/>
    <d v="1994-10-29T00:00:00"/>
    <s v="Nederlandse"/>
    <s v="M"/>
    <s v="Hoyledesingel 41"/>
    <s v="3054 EJ ROTTERDAM"/>
    <s v="Nederland"/>
    <s v="daan_tett@hotmail.com"/>
    <n v="-616929742"/>
    <n v="2013"/>
    <x v="1"/>
    <m/>
  </r>
  <r>
    <x v="1"/>
    <n v="4322665"/>
    <s v="rensvis"/>
    <s v="Vis"/>
    <s v="J.R. Vis"/>
    <s v="Rens"/>
    <x v="93"/>
    <s v="Homokineet"/>
    <s v="Sander Vieveen"/>
    <d v="1994-09-05T00:00:00"/>
    <s v="Nederlandse"/>
    <s v="M"/>
    <s v="Koningskaars 6"/>
    <s v="2224 DR KATWIJK ZH"/>
    <s v="Nederland"/>
    <s v="rens@familievis.com"/>
    <n v="-651702617"/>
    <n v="2013"/>
    <x v="1"/>
    <m/>
  </r>
  <r>
    <x v="1"/>
    <n v="4321782"/>
    <s v="hwaal"/>
    <s v="Waal"/>
    <s v="H.M. Waal"/>
    <s v="Mees"/>
    <x v="93"/>
    <s v="Homokineet"/>
    <s v="Sander Vieveen"/>
    <d v="1995-08-04T00:00:00"/>
    <s v="Nederlandse"/>
    <s v="M"/>
    <s v="Onzenoord 18"/>
    <s v="3079 MD ROTTERDAM"/>
    <s v="Nederland"/>
    <s v="meeswaal@hotmail.com"/>
    <n v="-621261261"/>
    <n v="2013"/>
    <x v="1"/>
    <m/>
  </r>
  <r>
    <x v="1"/>
    <n v="4307259"/>
    <s v="lwaller"/>
    <s v="Waller"/>
    <s v="L.A. Waller"/>
    <s v="Laurien"/>
    <x v="93"/>
    <s v="Homokineet"/>
    <s v="Sander Vieveen"/>
    <d v="1995-06-05T00:00:00"/>
    <s v="Nederlandse"/>
    <s v="V"/>
    <s v="Julianastraat 8"/>
    <s v="2012 ES HAARLEM"/>
    <s v="Nederland"/>
    <s v="laurienwaller@hotmail.com"/>
    <n v="-648650573"/>
    <n v="2013"/>
    <x v="1"/>
    <m/>
  </r>
  <r>
    <x v="1"/>
    <n v="4309650"/>
    <s v="rboekamp"/>
    <s v="Boekamp"/>
    <s v="R. Boekamp"/>
    <s v="Robin"/>
    <x v="94"/>
    <s v="Homokineet"/>
    <s v="Wouter Gregoor"/>
    <d v="1995-02-13T00:00:00"/>
    <s v="Nederlandse"/>
    <s v="M"/>
    <s v="Westerrand 16"/>
    <s v="8311 AN ESPEL"/>
    <s v="Nederland"/>
    <s v="rboek4@hotmail.com"/>
    <n v="-615641865"/>
    <n v="2013"/>
    <x v="1"/>
    <m/>
  </r>
  <r>
    <x v="1"/>
    <n v="4297784"/>
    <s v="mdamoiseaux"/>
    <s v="Damoiseaux"/>
    <s v="M. Damoiseaux"/>
    <s v="Michiel"/>
    <x v="94"/>
    <s v="Homokineet"/>
    <s v="Wouter Gregoor"/>
    <d v="1995-10-10T00:00:00"/>
    <s v="Nederlandse"/>
    <s v="M"/>
    <s v="Flessenbergerweg 5"/>
    <s v="8191 LH WAPENVELD"/>
    <s v="Nederland"/>
    <s v="m_damoiseaux@hotmail.com"/>
    <n v="-625217660"/>
    <n v="2013"/>
    <x v="1"/>
    <m/>
  </r>
  <r>
    <x v="1"/>
    <n v="4305701"/>
    <s v="adasli"/>
    <s v="Dasli"/>
    <s v="D.A. Dasli"/>
    <s v="Ali"/>
    <x v="94"/>
    <s v="Homokineet"/>
    <s v="Wouter Gregoor"/>
    <d v="1991-11-01T00:00:00"/>
    <s v="Turkse"/>
    <s v="M"/>
    <s v="Grasrijk 5 hs"/>
    <s v="1068 BR AMSTERDAM"/>
    <s v="Nederland"/>
    <s v="d.a.li_@hotmail.com"/>
    <n v="-643112978"/>
    <n v="2013"/>
    <x v="1"/>
    <m/>
  </r>
  <r>
    <x v="1"/>
    <n v="4303792"/>
    <s v="thillen"/>
    <s v="Hillen"/>
    <s v="T.M. Hillen"/>
    <s v="Tessa"/>
    <x v="94"/>
    <s v="Homokineet"/>
    <s v="Wouter Gregoor"/>
    <d v="1995-05-16T00:00:00"/>
    <s v="Nederlandse"/>
    <s v="V"/>
    <s v="Oranjelaan 14"/>
    <s v="1405 AZ BUSSUM"/>
    <s v="Nederland"/>
    <s v="tessahillen@live.nl"/>
    <n v="-622911362"/>
    <n v="2013"/>
    <x v="1"/>
    <m/>
  </r>
  <r>
    <x v="1"/>
    <n v="4315588"/>
    <s v="edekater"/>
    <s v="Kater"/>
    <s v="E.P. de Kater"/>
    <s v="Esther"/>
    <x v="94"/>
    <s v="Homokineet"/>
    <s v="Wouter Gregoor"/>
    <d v="1994-09-28T00:00:00"/>
    <s v="Nederlandse"/>
    <s v="V"/>
    <s v="Veenmos 11"/>
    <s v="3069 AT ROTTERDAM"/>
    <s v="Nederland"/>
    <s v="esther_de_kater@hotmail.com"/>
    <n v="-625227914"/>
    <n v="2013"/>
    <x v="1"/>
    <m/>
  </r>
  <r>
    <x v="1"/>
    <n v="4224329"/>
    <s v="sklevering"/>
    <s v="Klevering"/>
    <s v="S. Klevering"/>
    <s v="Stijn"/>
    <x v="94"/>
    <s v="Homokineet"/>
    <s v="Wouter Gregoor"/>
    <d v="1994-06-06T00:00:00"/>
    <s v="Nederlandse"/>
    <s v="M"/>
    <s v="Schakerpad 6"/>
    <s v="7391 TP TWELLO"/>
    <s v="Nederland"/>
    <s v="stijn_klevering@hotmail.com"/>
    <n v="-630417181"/>
    <n v="2012"/>
    <x v="2"/>
    <m/>
  </r>
  <r>
    <x v="1"/>
    <n v="4315413"/>
    <s v="asasteenkamp"/>
    <s v="Steenkamp"/>
    <s v="A.S.A. Steenkamp"/>
    <s v="Alex"/>
    <x v="94"/>
    <s v="Homokineet"/>
    <s v="Wouter Gregoor"/>
    <d v="1994-09-19T00:00:00"/>
    <s v="Nederlandse"/>
    <s v="M"/>
    <s v="Aa of Weerijs 18"/>
    <s v="5032 BD TILBURG"/>
    <s v="Nederland"/>
    <s v="alexsteenkamp@hotmail.com"/>
    <n v="-641094601"/>
    <n v="2013"/>
    <x v="1"/>
    <m/>
  </r>
  <r>
    <x v="1"/>
    <n v="4302818"/>
    <s v="jtukker"/>
    <s v="Tukker"/>
    <s v="J.W.T. Tukker"/>
    <s v="Jim"/>
    <x v="94"/>
    <s v="Homokineet"/>
    <s v="Wouter Gregoor"/>
    <d v="1995-06-08T00:00:00"/>
    <s v="Nederlandse"/>
    <s v="M"/>
    <s v="Ernst Casimirlaan 54"/>
    <s v="3708 CK ZEIST"/>
    <s v="Nederland"/>
    <s v="jimtukker@gmail.com"/>
    <n v="-630608981"/>
    <n v="2013"/>
    <x v="1"/>
    <m/>
  </r>
  <r>
    <x v="1"/>
    <n v="4314069"/>
    <s v="evablom"/>
    <s v="Blom"/>
    <s v="E.A. Blom"/>
    <s v="Eva"/>
    <x v="95"/>
    <s v="Homokineet"/>
    <s v="Wouter Gregoor"/>
    <d v="1995-08-03T00:00:00"/>
    <s v="Nederlandse"/>
    <s v="V"/>
    <s v="Hoofdweg 1390"/>
    <s v="2153 LV NIEUW VENNEP"/>
    <s v="Nederland"/>
    <s v="evazwemmen@live.nl"/>
    <n v="-613703616"/>
    <n v="2013"/>
    <x v="1"/>
    <m/>
  </r>
  <r>
    <x v="1"/>
    <n v="4298470"/>
    <s v="rdinaux"/>
    <s v="Dinaux"/>
    <s v="R.M. Dinaux"/>
    <s v="Raoul"/>
    <x v="95"/>
    <s v="Homokineet"/>
    <s v="Wouter Gregoor"/>
    <d v="1995-08-24T00:00:00"/>
    <s v="Nederlandse"/>
    <s v="M"/>
    <s v="Steven van der Hagenlaan 5"/>
    <s v="3818 HD AMERSFOORT"/>
    <s v="Nederland"/>
    <s v="raouldinaux@hotmail.com"/>
    <n v="-611168354"/>
    <n v="2013"/>
    <x v="1"/>
    <m/>
  </r>
  <r>
    <x v="1"/>
    <n v="4301641"/>
    <s v="eckooi"/>
    <s v="Kooi"/>
    <s v="E.C. Kooi"/>
    <s v="Emma"/>
    <x v="95"/>
    <s v="Homokineet"/>
    <s v="Wouter Gregoor"/>
    <d v="1994-05-20T00:00:00"/>
    <s v="Nederlandse"/>
    <s v="V"/>
    <s v="Atjehweg 6"/>
    <s v="2202 AP NOORDWIJK ZH"/>
    <s v="Nederland"/>
    <s v="vanbeelen@trs.eu"/>
    <n v="-642027876"/>
    <n v="2013"/>
    <x v="1"/>
    <m/>
  </r>
  <r>
    <x v="1"/>
    <n v="4319001"/>
    <s v="tykramer"/>
    <s v="Kramer"/>
    <s v="T.Y. Kramer"/>
    <s v="Timothy"/>
    <x v="95"/>
    <s v="Homokineet"/>
    <s v="Wouter Gregoor"/>
    <d v="1995-03-31T00:00:00"/>
    <s v="Nederlandse"/>
    <s v="M"/>
    <s v="Ina Dammanstraat 40"/>
    <s v="1507 PH ZAANDAM"/>
    <s v="Nederland"/>
    <s v="kramertckv@gmail.com"/>
    <n v="-644900152"/>
    <n v="2013"/>
    <x v="1"/>
    <m/>
  </r>
  <r>
    <x v="1"/>
    <n v="4269594"/>
    <s v="mrao"/>
    <s v="Rao"/>
    <s v="M.F. Rao"/>
    <s v="Mohan"/>
    <x v="95"/>
    <s v="Homokineet"/>
    <s v="Wouter Gregoor"/>
    <d v="1996-07-23T00:00:00"/>
    <s v="Nederlandse"/>
    <s v="M"/>
    <s v="16-101GreenCourt1 777 BiYunLu"/>
    <n v="201206"/>
    <s v="China"/>
    <s v="momo.rao@gmail.com"/>
    <m/>
    <n v="2013"/>
    <x v="1"/>
    <m/>
  </r>
  <r>
    <x v="1"/>
    <n v="4276892"/>
    <s v="nuitterdijk"/>
    <s v="Uitterdijk"/>
    <s v="N. Uitterdijk"/>
    <s v="Niels"/>
    <x v="95"/>
    <s v="Homokineet"/>
    <s v="Wouter Gregoor"/>
    <d v="1995-07-22T00:00:00"/>
    <s v="Nederlandse"/>
    <s v="M"/>
    <s v="Buttervin 49"/>
    <s v="1619 DC ANDIJK"/>
    <s v="Nederland"/>
    <s v="niels.uit@hotmail.com"/>
    <n v="-627658189"/>
    <n v="2013"/>
    <x v="1"/>
    <m/>
  </r>
  <r>
    <x v="1"/>
    <n v="4305817"/>
    <s v="nwillemsen"/>
    <s v="Willemsen"/>
    <s v="N.L.B. Willemsen"/>
    <s v="Niek"/>
    <x v="95"/>
    <s v="Homokineet"/>
    <s v="Wouter Gregoor"/>
    <d v="1995-04-27T00:00:00"/>
    <s v="Nederlandse"/>
    <s v="M"/>
    <s v="Jachtlaan 111"/>
    <s v="7313 CS APELDOORN"/>
    <s v="Nederland"/>
    <s v="niek-hockey@hotmail.com"/>
    <n v="-623293073"/>
    <n v="2013"/>
    <x v="1"/>
    <m/>
  </r>
  <r>
    <x v="1"/>
    <n v="4308204"/>
    <s v="ydasli"/>
    <s v="Dasli"/>
    <s v="Y. Dasli"/>
    <s v="Yusuf"/>
    <x v="96"/>
    <s v="Homokineet"/>
    <s v="Jan van Willigen"/>
    <d v="1993-05-29T00:00:00"/>
    <s v="Turkse"/>
    <s v="M"/>
    <s v="Grasrijk 5 hs"/>
    <s v="1068 BR AMSTERDAM"/>
    <s v="Nederland"/>
    <s v="yusuf_dasli@hotmail.com"/>
    <n v="-642505426"/>
    <n v="2013"/>
    <x v="1"/>
    <m/>
  </r>
  <r>
    <x v="1"/>
    <n v="4281349"/>
    <s v="rfpgomes"/>
    <s v="Gomes"/>
    <s v="R.F.P. Gomes"/>
    <s v="Robin"/>
    <x v="96"/>
    <s v="Homokineet"/>
    <s v="Jan van Willigen"/>
    <d v="1995-03-11T00:00:00"/>
    <s v="Nederlandse"/>
    <s v="M"/>
    <s v="Bleihof 59"/>
    <s v="2215 XT VOORHOUT"/>
    <s v="Nederland"/>
    <s v="robingomes@ziggo.nl"/>
    <n v="-681804512"/>
    <n v="2013"/>
    <x v="1"/>
    <m/>
  </r>
  <r>
    <x v="1"/>
    <n v="4313453"/>
    <s v="pgregoire"/>
    <s v="Gregoire"/>
    <s v="P.F. Gregoire"/>
    <s v="Pepijn"/>
    <x v="96"/>
    <s v="Homokineet"/>
    <s v="Jan van Willigen"/>
    <d v="1995-07-23T00:00:00"/>
    <s v="Nederlandse"/>
    <s v="M"/>
    <s v="Drususstraat 20"/>
    <s v="2025 BS HAARLEM"/>
    <s v="Nederland"/>
    <s v="pepijngregoire@msn.com"/>
    <n v="-681442082"/>
    <n v="2013"/>
    <x v="1"/>
    <m/>
  </r>
  <r>
    <x v="1"/>
    <n v="4315871"/>
    <s v="jjakortekaas"/>
    <s v="Kortekaas"/>
    <s v="J.J.A. Kortekaas"/>
    <s v="Joris"/>
    <x v="96"/>
    <s v="Homokineet"/>
    <s v="Jan van Willigen"/>
    <d v="1995-09-04T00:00:00"/>
    <s v="Nederlandse"/>
    <s v="M"/>
    <s v="Bergse Maas 6"/>
    <s v="2641 VW PIJNACKER"/>
    <s v="Nederland"/>
    <s v="joris_joost@hotmail.com"/>
    <n v="-634279676"/>
    <n v="2013"/>
    <x v="1"/>
    <m/>
  </r>
  <r>
    <x v="1"/>
    <n v="4291468"/>
    <s v="smanaber"/>
    <s v="Naber"/>
    <s v="S.M.A. Naber"/>
    <s v="Sietze"/>
    <x v="96"/>
    <s v="Homokineet"/>
    <s v="Jan van Willigen"/>
    <d v="1994-08-29T00:00:00"/>
    <s v="Nederlandse"/>
    <s v="M"/>
    <s v="P.C. Hooftweg 3"/>
    <s v="1217 RJ HILVERSUM"/>
    <s v="Nederland"/>
    <s v="sietzenaber@msn.com"/>
    <n v="-682049224"/>
    <n v="2013"/>
    <x v="1"/>
    <m/>
  </r>
  <r>
    <x v="1"/>
    <n v="4309618"/>
    <s v="loldenzeel"/>
    <s v="Oldenzeel"/>
    <s v="L.P. Oldenzeel"/>
    <s v="Laurens"/>
    <x v="96"/>
    <s v="Homokineet"/>
    <s v="Jan van Willigen"/>
    <d v="1993-07-20T00:00:00"/>
    <s v="Nederlandse"/>
    <s v="M"/>
    <s v="De Gamert 2409"/>
    <s v="6605 WH WIJCHEN"/>
    <s v="Nederland"/>
    <s v="laurens_oldenzeel@hotmail.com"/>
    <n v="-641045825"/>
    <n v="2013"/>
    <x v="1"/>
    <m/>
  </r>
  <r>
    <x v="1"/>
    <n v="4240855"/>
    <s v="pjdvisser"/>
    <s v="Visser"/>
    <s v="P.J.D. Visser"/>
    <s v="Peter"/>
    <x v="96"/>
    <s v="Homokineet"/>
    <s v="Jan van Willigen"/>
    <d v="1994-07-22T00:00:00"/>
    <s v="Nederlandse"/>
    <s v="M"/>
    <s v="Aan de Wind 11"/>
    <s v="1316 VL ALMERE"/>
    <s v="Nederland"/>
    <s v="pieterjandirk@gmail.com"/>
    <n v="-621718707"/>
    <n v="2013"/>
    <x v="1"/>
    <m/>
  </r>
  <r>
    <x v="1"/>
    <n v="4312163"/>
    <s v="dvonk"/>
    <s v="Vonk"/>
    <s v="D.S. Vonk"/>
    <s v="Derek"/>
    <x v="96"/>
    <s v="Homokineet"/>
    <s v="Jan van Willigen"/>
    <d v="1996-02-21T00:00:00"/>
    <s v="Nederlandse"/>
    <s v="M"/>
    <s v="Prof. Oudpark 19"/>
    <s v="6716 EJ EDE GLD"/>
    <s v="Nederland"/>
    <s v="ds_vonk@hotmail.com"/>
    <n v="-631582700"/>
    <n v="2013"/>
    <x v="1"/>
    <m/>
  </r>
  <r>
    <x v="1"/>
    <n v="4283708"/>
    <s v="rmwiersema"/>
    <s v="Wiersema"/>
    <s v="R.M. Wiersema"/>
    <s v="Ralph"/>
    <x v="96"/>
    <s v="Homokineet"/>
    <s v="Jan van Willigen"/>
    <d v="1994-08-20T00:00:00"/>
    <s v="Nederlandse"/>
    <s v="M"/>
    <s v="Molenlaan 57"/>
    <s v="2181 GS HILLEGOM"/>
    <s v="Nederland"/>
    <s v="ralph.wiersema@hotmail.com"/>
    <n v="-610071299"/>
    <n v="2013"/>
    <x v="1"/>
    <m/>
  </r>
  <r>
    <x v="1"/>
    <n v="4306236"/>
    <s v="xvanardenne"/>
    <s v="Ardenne"/>
    <s v="X.A. van Ardenne"/>
    <s v="Xavier"/>
    <x v="97"/>
    <s v="Homokineet"/>
    <s v="Jan van Willigen"/>
    <d v="1995-07-07T00:00:00"/>
    <s v="Nederlandse"/>
    <s v="M"/>
    <s v="P.C. Hooftlaan 14"/>
    <s v="3818 HG AMERSFOORT"/>
    <s v="Nederland"/>
    <s v="xavanardenne@gmail.com"/>
    <n v="-630491152"/>
    <n v="2013"/>
    <x v="1"/>
    <m/>
  </r>
  <r>
    <x v="1"/>
    <n v="4225643"/>
    <s v="kvandamme"/>
    <s v="Damme"/>
    <s v="K. van Damme"/>
    <s v="Koen"/>
    <x v="97"/>
    <s v="Homokineet"/>
    <s v="Jan van Willigen"/>
    <d v="1993-04-05T00:00:00"/>
    <s v="Nederlandse"/>
    <s v="M"/>
    <s v="Westdijk 8"/>
    <s v="4451 RD HEINKENSZAND"/>
    <s v="Nederland"/>
    <s v="koen.v.damme@hotmail.com"/>
    <n v="-683032681"/>
    <n v="2012"/>
    <x v="13"/>
    <m/>
  </r>
  <r>
    <x v="1"/>
    <n v="4238958"/>
    <s v="fdursun"/>
    <s v="Dursun"/>
    <s v="F. Dursun"/>
    <s v="Ferhat"/>
    <x v="97"/>
    <s v="Homokineet"/>
    <s v="Jan van Willigen"/>
    <d v="1992-06-15T00:00:00"/>
    <s v="Nederlandse"/>
    <s v="M"/>
    <s v="Granidastraat 70 1"/>
    <s v="1055 HP AMSTERDAM"/>
    <s v="Nederland"/>
    <s v="dursun_ferhat@hotmail.com"/>
    <n v="-641719583"/>
    <n v="2013"/>
    <x v="1"/>
    <m/>
  </r>
  <r>
    <x v="1"/>
    <n v="4331796"/>
    <s v="fvaningen"/>
    <s v="Ingen"/>
    <s v="F.M. van Ingen"/>
    <s v="Floris"/>
    <x v="97"/>
    <s v="Homokineet"/>
    <s v="Jan van Willigen"/>
    <d v="1995-07-03T00:00:00"/>
    <s v="Nederlandse"/>
    <s v="M"/>
    <s v="Bosweg 2"/>
    <s v="8051 NX HATTEM"/>
    <s v="Nederland"/>
    <s v="florisingen@hotmail.com"/>
    <n v="-622732196"/>
    <n v="2013"/>
    <x v="1"/>
    <m/>
  </r>
  <r>
    <x v="1"/>
    <n v="4288394"/>
    <s v="nharutten"/>
    <s v="Rutten"/>
    <s v="N.H.A. Rutten"/>
    <s v="Niek"/>
    <x v="97"/>
    <s v="Homokineet"/>
    <s v="Jan van Willigen"/>
    <d v="1994-09-03T00:00:00"/>
    <s v="Nederlandse"/>
    <s v="M"/>
    <s v="Mezenstraat 5"/>
    <s v="2333 VT LEIDEN"/>
    <s v="Nederland"/>
    <s v="niek.rutten@live.nl"/>
    <n v="-634193641"/>
    <n v="2013"/>
    <x v="1"/>
    <m/>
  </r>
  <r>
    <x v="1"/>
    <n v="4298942"/>
    <s v="ksprokholt"/>
    <s v="Sprokholt"/>
    <s v="K. Sprokholt"/>
    <s v="Koen"/>
    <x v="97"/>
    <s v="Homokineet"/>
    <s v="Jan van Willigen"/>
    <d v="1995-04-09T00:00:00"/>
    <s v="Nederlandse"/>
    <s v="M"/>
    <s v="Burg Martenssingel 27"/>
    <s v="2806 CL GOUDA"/>
    <s v="Nederland"/>
    <s v="k_sprokkie@hotmail.com"/>
    <n v="-614323124"/>
    <n v="2013"/>
    <x v="1"/>
    <m/>
  </r>
  <r>
    <x v="1"/>
    <n v="4324234"/>
    <s v="htuztasi"/>
    <s v="Tuztasi"/>
    <s v="H. Tuztasi"/>
    <s v="Halis"/>
    <x v="97"/>
    <s v="Homokineet"/>
    <s v="Jan van Willigen"/>
    <d v="1995-08-14T00:00:00"/>
    <s v="Nederlandse"/>
    <s v="M"/>
    <s v="Parallelweg 185"/>
    <s v="2525 NK 'S-GRAVENHAGE"/>
    <s v="Nederland"/>
    <s v="halis_ceza@hotmail.com"/>
    <n v="-634196193"/>
    <n v="2013"/>
    <x v="1"/>
    <m/>
  </r>
  <r>
    <x v="2"/>
    <m/>
    <m/>
    <m/>
    <m/>
    <m/>
    <x v="98"/>
    <m/>
    <m/>
    <m/>
    <m/>
    <m/>
    <m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B1:C101" firstHeaderRow="1" firstDataRow="1" firstDataCol="1"/>
  <pivotFields count="20">
    <pivotField showAll="0">
      <items count="4">
        <item x="0"/>
        <item x="1"/>
        <item x="2"/>
        <item t="default"/>
      </items>
    </pivotField>
    <pivotField dataField="1" showAll="0"/>
    <pivotField showAll="0" defaultSubtotal="0"/>
    <pivotField showAll="0"/>
    <pivotField showAll="0"/>
    <pivotField showAll="0"/>
    <pivotField axis="axisRow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Items count="1">
    <i/>
  </colItems>
  <dataFields count="1">
    <dataField name="Aantal van STNR" fld="1" subtotal="count" baseField="0" baseItem="0"/>
  </dataFields>
  <formats count="4">
    <format dxfId="3">
      <pivotArea field="0" type="button" dataOnly="0" labelOnly="1" outline="0"/>
    </format>
    <format dxfId="2">
      <pivotArea type="topRight" dataOnly="0" labelOnly="1" outline="0" fieldPosition="0"/>
    </format>
    <format dxfId="1">
      <pivotArea collapsedLevelsAreSubtotals="1" fieldPosition="0">
        <references count="1">
          <reference field="6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0">
      <pivotArea collapsedLevelsAreSubtotals="1" fieldPosition="0">
        <references count="1">
          <reference field="6" count="82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2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1:B34" firstHeaderRow="1" firstDataRow="1" firstDataCol="1"/>
  <pivotFields count="20">
    <pivotField axis="axisRow" showAll="0">
      <items count="4">
        <item x="0"/>
        <item x="1"/>
        <item x="2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20"/>
        <item x="18"/>
        <item x="21"/>
        <item x="10"/>
        <item x="0"/>
        <item x="12"/>
        <item x="2"/>
        <item x="11"/>
        <item x="15"/>
        <item x="5"/>
        <item x="8"/>
        <item x="13"/>
        <item x="4"/>
        <item x="9"/>
        <item x="7"/>
        <item x="17"/>
        <item x="16"/>
        <item x="14"/>
        <item x="19"/>
        <item x="6"/>
        <item x="3"/>
        <item x="1"/>
        <item t="default"/>
      </items>
    </pivotField>
    <pivotField showAll="0"/>
  </pivotFields>
  <rowFields count="2">
    <field x="0"/>
    <field x="18"/>
  </rowFields>
  <rowItems count="33">
    <i>
      <x/>
    </i>
    <i r="1">
      <x v="3"/>
    </i>
    <i r="1">
      <x v="4"/>
    </i>
    <i r="1">
      <x v="6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9"/>
    </i>
    <i r="1">
      <x v="20"/>
    </i>
    <i r="1">
      <x v="2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21"/>
    </i>
    <i>
      <x v="2"/>
    </i>
    <i r="1">
      <x v="21"/>
    </i>
    <i t="grand">
      <x/>
    </i>
  </rowItems>
  <colItems count="1">
    <i/>
  </colItems>
  <dataFields count="1">
    <dataField name="Aantal van STN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x-1995@live.nl" TargetMode="External"/><Relationship Id="rId1" Type="http://schemas.openxmlformats.org/officeDocument/2006/relationships/hyperlink" Target="mailto:niels_burbach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roeldv@gmail.com" TargetMode="External"/><Relationship Id="rId18" Type="http://schemas.openxmlformats.org/officeDocument/2006/relationships/hyperlink" Target="mailto:h.t.l.hoang@gmail.com" TargetMode="External"/><Relationship Id="rId26" Type="http://schemas.openxmlformats.org/officeDocument/2006/relationships/hyperlink" Target="mailto:roelandk@hotmail.com" TargetMode="External"/><Relationship Id="rId39" Type="http://schemas.openxmlformats.org/officeDocument/2006/relationships/hyperlink" Target="mailto:stino2@msn.com" TargetMode="External"/><Relationship Id="rId21" Type="http://schemas.openxmlformats.org/officeDocument/2006/relationships/hyperlink" Target="mailto:ryanmvd@gmail.com" TargetMode="External"/><Relationship Id="rId34" Type="http://schemas.openxmlformats.org/officeDocument/2006/relationships/hyperlink" Target="mailto:f.a.vandelft@gmail.com" TargetMode="External"/><Relationship Id="rId42" Type="http://schemas.openxmlformats.org/officeDocument/2006/relationships/hyperlink" Target="mailto:erik.hoogeveen@hva.nl" TargetMode="External"/><Relationship Id="rId47" Type="http://schemas.openxmlformats.org/officeDocument/2006/relationships/hyperlink" Target="mailto:raymondr1991@gmail.com" TargetMode="External"/><Relationship Id="rId50" Type="http://schemas.openxmlformats.org/officeDocument/2006/relationships/hyperlink" Target="mailto:dennisgiezeman@gmail.com" TargetMode="External"/><Relationship Id="rId55" Type="http://schemas.openxmlformats.org/officeDocument/2006/relationships/hyperlink" Target="mailto:mnmalik87@gmail.com" TargetMode="External"/><Relationship Id="rId7" Type="http://schemas.openxmlformats.org/officeDocument/2006/relationships/hyperlink" Target="mailto:l_huijgens@hotmail.com" TargetMode="External"/><Relationship Id="rId12" Type="http://schemas.openxmlformats.org/officeDocument/2006/relationships/hyperlink" Target="mailto:alexlotgering@gmail.com" TargetMode="External"/><Relationship Id="rId17" Type="http://schemas.openxmlformats.org/officeDocument/2006/relationships/hyperlink" Target="mailto:diedertboltje@hotmail.com" TargetMode="External"/><Relationship Id="rId25" Type="http://schemas.openxmlformats.org/officeDocument/2006/relationships/hyperlink" Target="mailto:paulienklap_8@hotmail.com" TargetMode="External"/><Relationship Id="rId33" Type="http://schemas.openxmlformats.org/officeDocument/2006/relationships/hyperlink" Target="mailto:silvesterwulffers@hotmail.com" TargetMode="External"/><Relationship Id="rId38" Type="http://schemas.openxmlformats.org/officeDocument/2006/relationships/hyperlink" Target="mailto:n_tol@live.nl" TargetMode="External"/><Relationship Id="rId46" Type="http://schemas.openxmlformats.org/officeDocument/2006/relationships/hyperlink" Target="mailto:cpasteutel@gmail.com" TargetMode="External"/><Relationship Id="rId2" Type="http://schemas.openxmlformats.org/officeDocument/2006/relationships/hyperlink" Target="mailto:shoaib246@hotmail.com" TargetMode="External"/><Relationship Id="rId16" Type="http://schemas.openxmlformats.org/officeDocument/2006/relationships/hyperlink" Target="mailto:patrickpwdeboer@gmail.com" TargetMode="External"/><Relationship Id="rId20" Type="http://schemas.openxmlformats.org/officeDocument/2006/relationships/hyperlink" Target="mailto:oliverheijmeijer@gmail.com" TargetMode="External"/><Relationship Id="rId29" Type="http://schemas.openxmlformats.org/officeDocument/2006/relationships/hyperlink" Target="mailto:wouter_zoest@hotmail.com" TargetMode="External"/><Relationship Id="rId41" Type="http://schemas.openxmlformats.org/officeDocument/2006/relationships/hyperlink" Target="mailto:lars_hamberg@live.nl" TargetMode="External"/><Relationship Id="rId54" Type="http://schemas.openxmlformats.org/officeDocument/2006/relationships/hyperlink" Target="mailto:mnmalik87@gmail.com" TargetMode="External"/><Relationship Id="rId1" Type="http://schemas.openxmlformats.org/officeDocument/2006/relationships/hyperlink" Target="mailto:luukiekeizer@gmail.com" TargetMode="External"/><Relationship Id="rId6" Type="http://schemas.openxmlformats.org/officeDocument/2006/relationships/hyperlink" Target="mailto:3205582@student.inholland.nl" TargetMode="External"/><Relationship Id="rId11" Type="http://schemas.openxmlformats.org/officeDocument/2006/relationships/hyperlink" Target="mailto:silvesterwulffers@hotmail.com" TargetMode="External"/><Relationship Id="rId24" Type="http://schemas.openxmlformats.org/officeDocument/2006/relationships/hyperlink" Target="mailto:jorisvanderjagt@gmail.com" TargetMode="External"/><Relationship Id="rId32" Type="http://schemas.openxmlformats.org/officeDocument/2006/relationships/hyperlink" Target="mailto:sltielens@gmail.com" TargetMode="External"/><Relationship Id="rId37" Type="http://schemas.openxmlformats.org/officeDocument/2006/relationships/hyperlink" Target="mailto:bramvandenbrink@live.nl" TargetMode="External"/><Relationship Id="rId40" Type="http://schemas.openxmlformats.org/officeDocument/2006/relationships/hyperlink" Target="mailto:nickdejong_alfa@hotmail.com" TargetMode="External"/><Relationship Id="rId45" Type="http://schemas.openxmlformats.org/officeDocument/2006/relationships/hyperlink" Target="mailto:benwilson@live.nl" TargetMode="External"/><Relationship Id="rId53" Type="http://schemas.openxmlformats.org/officeDocument/2006/relationships/hyperlink" Target="mailto:m.disselkoen@planet.nl" TargetMode="External"/><Relationship Id="rId5" Type="http://schemas.openxmlformats.org/officeDocument/2006/relationships/hyperlink" Target="mailto:ozer_123@hotmail.com" TargetMode="External"/><Relationship Id="rId15" Type="http://schemas.openxmlformats.org/officeDocument/2006/relationships/hyperlink" Target="mailto:nielsvandijk03091991@gmail.com" TargetMode="External"/><Relationship Id="rId23" Type="http://schemas.openxmlformats.org/officeDocument/2006/relationships/hyperlink" Target="mailto:joneboon@gmail.com" TargetMode="External"/><Relationship Id="rId28" Type="http://schemas.openxmlformats.org/officeDocument/2006/relationships/hyperlink" Target="mailto:frouwkjedeblaauw@hotmail.com" TargetMode="External"/><Relationship Id="rId36" Type="http://schemas.openxmlformats.org/officeDocument/2006/relationships/hyperlink" Target="mailto:njkoorn@hotmail.com" TargetMode="External"/><Relationship Id="rId49" Type="http://schemas.openxmlformats.org/officeDocument/2006/relationships/hyperlink" Target="mailto:noordampie@hotmail.com" TargetMode="External"/><Relationship Id="rId57" Type="http://schemas.openxmlformats.org/officeDocument/2006/relationships/hyperlink" Target="mailto:allardvdknijff@hotmail.com" TargetMode="External"/><Relationship Id="rId10" Type="http://schemas.openxmlformats.org/officeDocument/2006/relationships/hyperlink" Target="mailto:t.vink@hotmail.com" TargetMode="External"/><Relationship Id="rId19" Type="http://schemas.openxmlformats.org/officeDocument/2006/relationships/hyperlink" Target="mailto:willembernard@gmail.com" TargetMode="External"/><Relationship Id="rId31" Type="http://schemas.openxmlformats.org/officeDocument/2006/relationships/hyperlink" Target="mailto:ronald.knoppe@gmail.com" TargetMode="External"/><Relationship Id="rId44" Type="http://schemas.openxmlformats.org/officeDocument/2006/relationships/hyperlink" Target="mailto:stephandiek@hotmail.com" TargetMode="External"/><Relationship Id="rId52" Type="http://schemas.openxmlformats.org/officeDocument/2006/relationships/hyperlink" Target="mailto:stefangraat@hotmail.com" TargetMode="External"/><Relationship Id="rId4" Type="http://schemas.openxmlformats.org/officeDocument/2006/relationships/hyperlink" Target="mailto:448818@student.inholland.nl" TargetMode="External"/><Relationship Id="rId9" Type="http://schemas.openxmlformats.org/officeDocument/2006/relationships/hyperlink" Target="mailto:lode.vanc@gmail.com" TargetMode="External"/><Relationship Id="rId14" Type="http://schemas.openxmlformats.org/officeDocument/2006/relationships/hyperlink" Target="mailto:matthys11@hotmail.com" TargetMode="External"/><Relationship Id="rId22" Type="http://schemas.openxmlformats.org/officeDocument/2006/relationships/hyperlink" Target="mailto:jurgenborghuis@hotmail.com" TargetMode="External"/><Relationship Id="rId27" Type="http://schemas.openxmlformats.org/officeDocument/2006/relationships/hyperlink" Target="mailto:jimmyvanschoubroeck@yahoo.com" TargetMode="External"/><Relationship Id="rId30" Type="http://schemas.openxmlformats.org/officeDocument/2006/relationships/hyperlink" Target="mailto:najoo_84@hotmail.com" TargetMode="External"/><Relationship Id="rId35" Type="http://schemas.openxmlformats.org/officeDocument/2006/relationships/hyperlink" Target="mailto:wietze@live.nl" TargetMode="External"/><Relationship Id="rId43" Type="http://schemas.openxmlformats.org/officeDocument/2006/relationships/hyperlink" Target="mailto:jasperbreeuwsma@hotmail.com" TargetMode="External"/><Relationship Id="rId48" Type="http://schemas.openxmlformats.org/officeDocument/2006/relationships/hyperlink" Target="mailto:martijnwittingen@hotmail.nl" TargetMode="External"/><Relationship Id="rId56" Type="http://schemas.openxmlformats.org/officeDocument/2006/relationships/hyperlink" Target="mailto:roaldzwinkels@gmail.com" TargetMode="External"/><Relationship Id="rId8" Type="http://schemas.openxmlformats.org/officeDocument/2006/relationships/hyperlink" Target="mailto:thijs0290@gmail.com" TargetMode="External"/><Relationship Id="rId51" Type="http://schemas.openxmlformats.org/officeDocument/2006/relationships/hyperlink" Target="mailto:tomas_lenssen@hotmail.com" TargetMode="External"/><Relationship Id="rId3" Type="http://schemas.openxmlformats.org/officeDocument/2006/relationships/hyperlink" Target="mailto:tessavdheid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3"/>
  <sheetViews>
    <sheetView tabSelected="1"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H2" sqref="H2"/>
    </sheetView>
  </sheetViews>
  <sheetFormatPr defaultRowHeight="15" customHeight="1" x14ac:dyDescent="0.25"/>
  <cols>
    <col min="1" max="1" width="7" style="1" customWidth="1"/>
    <col min="2" max="2" width="8" style="1" bestFit="1" customWidth="1"/>
    <col min="3" max="3" width="21.5703125" style="36" customWidth="1"/>
    <col min="4" max="4" width="18.7109375" style="1" customWidth="1"/>
    <col min="5" max="5" width="21" style="1" customWidth="1"/>
    <col min="6" max="6" width="17" style="1" bestFit="1" customWidth="1"/>
    <col min="7" max="7" width="8.85546875" style="1" customWidth="1"/>
    <col min="8" max="8" width="22.140625" style="1" customWidth="1"/>
    <col min="9" max="9" width="22.5703125" style="1" customWidth="1"/>
    <col min="10" max="10" width="13.5703125" style="1" hidden="1" customWidth="1"/>
    <col min="11" max="11" width="16.28515625" style="1" hidden="1" customWidth="1"/>
    <col min="12" max="12" width="4.85546875" style="1" bestFit="1" customWidth="1"/>
    <col min="13" max="13" width="32.5703125" style="1" hidden="1" customWidth="1"/>
    <col min="14" max="14" width="37" style="1" hidden="1" customWidth="1"/>
    <col min="15" max="15" width="12.85546875" style="1" hidden="1" customWidth="1"/>
    <col min="16" max="16" width="40.5703125" style="1" hidden="1" customWidth="1"/>
    <col min="17" max="17" width="14.7109375" style="1" hidden="1" customWidth="1"/>
    <col min="18" max="18" width="12.42578125" style="1" customWidth="1"/>
    <col min="19" max="19" width="20.28515625" style="1" customWidth="1"/>
    <col min="20" max="20" width="32.28515625" style="1" customWidth="1"/>
    <col min="21" max="16384" width="9.140625" style="1"/>
  </cols>
  <sheetData>
    <row r="1" spans="1:20" ht="15" customHeight="1" x14ac:dyDescent="0.25">
      <c r="A1" s="37" t="s">
        <v>0</v>
      </c>
      <c r="B1" s="37" t="s">
        <v>1</v>
      </c>
      <c r="C1" s="37" t="s">
        <v>6515</v>
      </c>
      <c r="D1" s="37" t="s">
        <v>2</v>
      </c>
      <c r="E1" s="37" t="s">
        <v>3</v>
      </c>
      <c r="F1" s="37" t="s">
        <v>4</v>
      </c>
      <c r="G1" s="37" t="s">
        <v>5</v>
      </c>
      <c r="H1" s="37" t="s">
        <v>5712</v>
      </c>
      <c r="I1" s="37" t="s">
        <v>5660</v>
      </c>
      <c r="J1" s="37" t="s">
        <v>6</v>
      </c>
      <c r="K1" s="37" t="s">
        <v>5241</v>
      </c>
      <c r="L1" s="37" t="s">
        <v>7</v>
      </c>
      <c r="M1" s="37" t="s">
        <v>8</v>
      </c>
      <c r="N1" s="37" t="s">
        <v>9</v>
      </c>
      <c r="O1" s="37" t="s">
        <v>10</v>
      </c>
      <c r="P1" s="37" t="s">
        <v>11</v>
      </c>
      <c r="Q1" s="37" t="s">
        <v>12</v>
      </c>
      <c r="R1" s="37" t="s">
        <v>13</v>
      </c>
      <c r="S1" s="37" t="s">
        <v>5240</v>
      </c>
      <c r="T1" s="37" t="s">
        <v>14</v>
      </c>
    </row>
    <row r="2" spans="1:20" ht="15" customHeight="1" x14ac:dyDescent="0.25">
      <c r="A2" s="5" t="s">
        <v>45</v>
      </c>
      <c r="B2" s="1">
        <v>4317483</v>
      </c>
      <c r="C2" s="35" t="s">
        <v>5869</v>
      </c>
      <c r="D2" s="29" t="s">
        <v>4264</v>
      </c>
      <c r="E2" s="1" t="s">
        <v>4265</v>
      </c>
      <c r="F2" s="1" t="s">
        <v>271</v>
      </c>
      <c r="G2" s="5" t="s">
        <v>5734</v>
      </c>
      <c r="H2" s="5"/>
      <c r="I2" s="5"/>
      <c r="J2" s="2">
        <v>34682</v>
      </c>
      <c r="K2" s="1" t="s">
        <v>19</v>
      </c>
      <c r="L2" s="1" t="s">
        <v>20</v>
      </c>
      <c r="M2" s="1" t="s">
        <v>4266</v>
      </c>
      <c r="N2" s="1" t="s">
        <v>4267</v>
      </c>
      <c r="O2" s="1" t="s">
        <v>23</v>
      </c>
      <c r="P2" s="1" t="s">
        <v>4268</v>
      </c>
      <c r="Q2" s="1">
        <f>31-628635018</f>
        <v>-628634987</v>
      </c>
      <c r="R2" s="1">
        <v>2013</v>
      </c>
      <c r="T2" s="1" t="s">
        <v>6545</v>
      </c>
    </row>
    <row r="3" spans="1:20" ht="15" customHeight="1" x14ac:dyDescent="0.25">
      <c r="A3" s="5" t="s">
        <v>45</v>
      </c>
      <c r="B3" s="1">
        <v>4157133</v>
      </c>
      <c r="C3" s="35" t="s">
        <v>5848</v>
      </c>
      <c r="D3" s="29" t="s">
        <v>843</v>
      </c>
      <c r="E3" s="1" t="s">
        <v>1067</v>
      </c>
      <c r="F3" s="1" t="s">
        <v>1068</v>
      </c>
      <c r="G3" s="5" t="s">
        <v>5734</v>
      </c>
      <c r="H3" s="5"/>
      <c r="I3" s="5"/>
      <c r="J3" s="2">
        <v>32410</v>
      </c>
      <c r="K3" s="1" t="s">
        <v>19</v>
      </c>
      <c r="L3" s="1" t="s">
        <v>20</v>
      </c>
      <c r="M3" s="1" t="s">
        <v>1069</v>
      </c>
      <c r="N3" s="1" t="s">
        <v>1070</v>
      </c>
      <c r="O3" s="1" t="s">
        <v>23</v>
      </c>
      <c r="P3" s="1" t="s">
        <v>1071</v>
      </c>
      <c r="Q3" s="1">
        <f>31-681079873</f>
        <v>-681079842</v>
      </c>
      <c r="R3" s="1">
        <v>2011</v>
      </c>
      <c r="S3" s="1" t="s">
        <v>5228</v>
      </c>
      <c r="T3" s="1" t="s">
        <v>6547</v>
      </c>
    </row>
    <row r="4" spans="1:20" ht="15" customHeight="1" x14ac:dyDescent="0.25">
      <c r="A4" s="5" t="s">
        <v>45</v>
      </c>
      <c r="B4" s="1">
        <v>4220455</v>
      </c>
      <c r="C4" s="35" t="s">
        <v>5819</v>
      </c>
      <c r="D4" s="29" t="s">
        <v>780</v>
      </c>
      <c r="E4" s="1" t="s">
        <v>781</v>
      </c>
      <c r="F4" s="1" t="s">
        <v>782</v>
      </c>
      <c r="G4" s="5" t="s">
        <v>5734</v>
      </c>
      <c r="H4" s="5"/>
      <c r="I4" s="5"/>
      <c r="J4" s="2">
        <v>34524</v>
      </c>
      <c r="K4" s="1" t="s">
        <v>19</v>
      </c>
      <c r="L4" s="1" t="s">
        <v>20</v>
      </c>
      <c r="M4" s="1" t="s">
        <v>783</v>
      </c>
      <c r="N4" s="1" t="s">
        <v>784</v>
      </c>
      <c r="O4" s="1" t="s">
        <v>23</v>
      </c>
      <c r="P4" s="1" t="s">
        <v>785</v>
      </c>
      <c r="Q4" s="1">
        <f>31-652115324</f>
        <v>-652115293</v>
      </c>
      <c r="R4" s="1">
        <v>2012</v>
      </c>
      <c r="S4" s="1" t="s">
        <v>5227</v>
      </c>
      <c r="T4" s="1" t="s">
        <v>6528</v>
      </c>
    </row>
    <row r="5" spans="1:20" ht="15" customHeight="1" x14ac:dyDescent="0.25">
      <c r="A5" s="5" t="s">
        <v>45</v>
      </c>
      <c r="B5" s="1">
        <v>4323246</v>
      </c>
      <c r="C5" s="35" t="s">
        <v>5814</v>
      </c>
      <c r="D5" s="29" t="s">
        <v>728</v>
      </c>
      <c r="E5" s="1" t="s">
        <v>729</v>
      </c>
      <c r="F5" s="1" t="s">
        <v>730</v>
      </c>
      <c r="G5" s="5" t="s">
        <v>5734</v>
      </c>
      <c r="H5" s="5"/>
      <c r="I5" s="5"/>
      <c r="J5" s="2">
        <v>33661</v>
      </c>
      <c r="K5" s="1" t="s">
        <v>19</v>
      </c>
      <c r="L5" s="1" t="s">
        <v>20</v>
      </c>
      <c r="M5" s="1" t="s">
        <v>731</v>
      </c>
      <c r="N5" s="1" t="s">
        <v>732</v>
      </c>
      <c r="O5" s="1" t="s">
        <v>23</v>
      </c>
      <c r="P5" s="1" t="s">
        <v>733</v>
      </c>
      <c r="Q5" s="1">
        <f>31-649223957</f>
        <v>-649223926</v>
      </c>
      <c r="R5" s="1">
        <v>2013</v>
      </c>
      <c r="T5" s="1" t="s">
        <v>6529</v>
      </c>
    </row>
    <row r="6" spans="1:20" ht="15" customHeight="1" x14ac:dyDescent="0.25">
      <c r="A6" s="5" t="s">
        <v>45</v>
      </c>
      <c r="B6" s="1">
        <v>4276108</v>
      </c>
      <c r="C6" s="35" t="s">
        <v>5751</v>
      </c>
      <c r="D6" s="29" t="s">
        <v>926</v>
      </c>
      <c r="E6" s="1" t="s">
        <v>927</v>
      </c>
      <c r="F6" s="1" t="s">
        <v>928</v>
      </c>
      <c r="G6" s="5" t="s">
        <v>5734</v>
      </c>
      <c r="H6" s="5"/>
      <c r="I6" s="5"/>
      <c r="J6" s="2">
        <v>34359</v>
      </c>
      <c r="K6" s="1" t="s">
        <v>19</v>
      </c>
      <c r="L6" s="1" t="s">
        <v>20</v>
      </c>
      <c r="M6" s="1" t="s">
        <v>929</v>
      </c>
      <c r="N6" s="1" t="s">
        <v>930</v>
      </c>
      <c r="O6" s="1" t="s">
        <v>23</v>
      </c>
      <c r="P6" s="1" t="s">
        <v>931</v>
      </c>
      <c r="Q6" s="1">
        <f>39-3477082789</f>
        <v>-3477082750</v>
      </c>
      <c r="R6" s="1">
        <v>2013</v>
      </c>
      <c r="T6" s="1" t="s">
        <v>5733</v>
      </c>
    </row>
    <row r="7" spans="1:20" ht="15" customHeight="1" x14ac:dyDescent="0.25">
      <c r="A7" s="5" t="s">
        <v>45</v>
      </c>
      <c r="B7" s="1">
        <v>4206525</v>
      </c>
      <c r="C7" s="35" t="s">
        <v>5752</v>
      </c>
      <c r="D7" s="29" t="s">
        <v>937</v>
      </c>
      <c r="E7" s="1" t="s">
        <v>938</v>
      </c>
      <c r="F7" s="1" t="s">
        <v>939</v>
      </c>
      <c r="G7" s="5" t="s">
        <v>5734</v>
      </c>
      <c r="H7" s="5"/>
      <c r="I7" s="5"/>
      <c r="J7" s="2">
        <v>34314</v>
      </c>
      <c r="K7" s="1" t="s">
        <v>19</v>
      </c>
      <c r="L7" s="1" t="s">
        <v>20</v>
      </c>
      <c r="M7" s="1" t="s">
        <v>180</v>
      </c>
      <c r="N7" s="1" t="s">
        <v>181</v>
      </c>
      <c r="O7" s="1" t="s">
        <v>23</v>
      </c>
      <c r="P7" s="1" t="s">
        <v>940</v>
      </c>
      <c r="Q7" s="1">
        <f>31-619622093</f>
        <v>-619622062</v>
      </c>
      <c r="R7" s="1">
        <v>2012</v>
      </c>
      <c r="S7" s="1" t="s">
        <v>88</v>
      </c>
      <c r="T7" s="1" t="s">
        <v>5733</v>
      </c>
    </row>
    <row r="8" spans="1:20" ht="15" customHeight="1" x14ac:dyDescent="0.25">
      <c r="A8" s="5" t="s">
        <v>45</v>
      </c>
      <c r="B8" s="1">
        <v>4297008</v>
      </c>
      <c r="C8" s="35" t="s">
        <v>5856</v>
      </c>
      <c r="D8" s="29" t="s">
        <v>1156</v>
      </c>
      <c r="E8" s="1" t="s">
        <v>1157</v>
      </c>
      <c r="F8" s="1" t="s">
        <v>156</v>
      </c>
      <c r="G8" s="5" t="s">
        <v>5734</v>
      </c>
      <c r="H8" s="5"/>
      <c r="I8" s="5"/>
      <c r="J8" s="2">
        <v>34863</v>
      </c>
      <c r="K8" s="1" t="s">
        <v>19</v>
      </c>
      <c r="L8" s="1" t="s">
        <v>20</v>
      </c>
      <c r="M8" s="1" t="s">
        <v>1158</v>
      </c>
      <c r="N8" s="1" t="s">
        <v>1159</v>
      </c>
      <c r="O8" s="1" t="s">
        <v>23</v>
      </c>
      <c r="P8" s="1" t="s">
        <v>1160</v>
      </c>
      <c r="Q8" s="1">
        <f>31-650746641</f>
        <v>-650746610</v>
      </c>
      <c r="R8" s="1">
        <v>2013</v>
      </c>
      <c r="T8" s="1" t="s">
        <v>6546</v>
      </c>
    </row>
    <row r="9" spans="1:20" ht="15" customHeight="1" x14ac:dyDescent="0.25">
      <c r="A9" s="5" t="s">
        <v>45</v>
      </c>
      <c r="B9" s="1">
        <v>4320352</v>
      </c>
      <c r="C9" s="35" t="s">
        <v>5858</v>
      </c>
      <c r="D9" s="29" t="s">
        <v>1035</v>
      </c>
      <c r="E9" s="1" t="s">
        <v>1177</v>
      </c>
      <c r="F9" s="1" t="s">
        <v>724</v>
      </c>
      <c r="G9" s="5" t="s">
        <v>5734</v>
      </c>
      <c r="H9" s="5"/>
      <c r="I9" s="5"/>
      <c r="J9" s="2">
        <v>34716</v>
      </c>
      <c r="K9" s="1" t="s">
        <v>19</v>
      </c>
      <c r="L9" s="1" t="s">
        <v>20</v>
      </c>
      <c r="M9" s="1" t="s">
        <v>1178</v>
      </c>
      <c r="N9" s="1" t="s">
        <v>1179</v>
      </c>
      <c r="O9" s="1" t="s">
        <v>23</v>
      </c>
      <c r="P9" s="1" t="s">
        <v>1180</v>
      </c>
      <c r="Q9" s="1">
        <f>31-612199046</f>
        <v>-612199015</v>
      </c>
      <c r="R9" s="1">
        <v>2013</v>
      </c>
      <c r="T9" s="1" t="s">
        <v>6546</v>
      </c>
    </row>
    <row r="10" spans="1:20" ht="15" customHeight="1" x14ac:dyDescent="0.25">
      <c r="A10" s="5" t="s">
        <v>45</v>
      </c>
      <c r="B10" s="1">
        <v>4318226</v>
      </c>
      <c r="C10" s="35" t="s">
        <v>5753</v>
      </c>
      <c r="D10" s="29" t="s">
        <v>46</v>
      </c>
      <c r="E10" s="1" t="s">
        <v>47</v>
      </c>
      <c r="F10" s="1" t="s">
        <v>48</v>
      </c>
      <c r="G10" s="5" t="s">
        <v>5555</v>
      </c>
      <c r="H10" s="5" t="s">
        <v>5713</v>
      </c>
      <c r="I10" s="5" t="s">
        <v>5661</v>
      </c>
      <c r="J10" s="2">
        <v>34959</v>
      </c>
      <c r="K10" s="1" t="s">
        <v>19</v>
      </c>
      <c r="L10" s="1" t="s">
        <v>20</v>
      </c>
      <c r="M10" s="1" t="s">
        <v>49</v>
      </c>
      <c r="N10" s="1" t="s">
        <v>50</v>
      </c>
      <c r="O10" s="1" t="s">
        <v>23</v>
      </c>
      <c r="P10" s="1" t="s">
        <v>51</v>
      </c>
      <c r="Q10" s="1">
        <f>31-642861015</f>
        <v>-642860984</v>
      </c>
      <c r="R10" s="1">
        <v>2013</v>
      </c>
    </row>
    <row r="11" spans="1:20" ht="15" customHeight="1" x14ac:dyDescent="0.25">
      <c r="A11" s="5" t="s">
        <v>45</v>
      </c>
      <c r="B11" s="1">
        <v>4022114</v>
      </c>
      <c r="C11" s="35" t="s">
        <v>5754</v>
      </c>
      <c r="D11" s="29" t="s">
        <v>60</v>
      </c>
      <c r="E11" s="1" t="s">
        <v>61</v>
      </c>
      <c r="F11" s="1" t="s">
        <v>62</v>
      </c>
      <c r="G11" s="5" t="s">
        <v>5555</v>
      </c>
      <c r="H11" s="5" t="s">
        <v>5713</v>
      </c>
      <c r="I11" s="5" t="s">
        <v>5661</v>
      </c>
      <c r="J11" s="2">
        <v>32362</v>
      </c>
      <c r="K11" s="1" t="s">
        <v>19</v>
      </c>
      <c r="L11" s="1" t="s">
        <v>20</v>
      </c>
      <c r="M11" s="1" t="s">
        <v>63</v>
      </c>
      <c r="N11" s="1" t="s">
        <v>64</v>
      </c>
      <c r="O11" s="1" t="s">
        <v>23</v>
      </c>
      <c r="P11" s="1" t="s">
        <v>65</v>
      </c>
      <c r="Q11" s="1">
        <f>31-681578710</f>
        <v>-681578679</v>
      </c>
      <c r="R11" s="1">
        <v>2009</v>
      </c>
      <c r="S11" s="1" t="s">
        <v>5224</v>
      </c>
    </row>
    <row r="12" spans="1:20" ht="15" customHeight="1" x14ac:dyDescent="0.25">
      <c r="A12" s="5" t="s">
        <v>45</v>
      </c>
      <c r="B12" s="1">
        <v>4320395</v>
      </c>
      <c r="C12" s="35" t="s">
        <v>5755</v>
      </c>
      <c r="D12" s="29" t="s">
        <v>116</v>
      </c>
      <c r="E12" s="1" t="s">
        <v>117</v>
      </c>
      <c r="F12" s="1" t="s">
        <v>118</v>
      </c>
      <c r="G12" s="5" t="s">
        <v>5555</v>
      </c>
      <c r="H12" s="5" t="s">
        <v>5713</v>
      </c>
      <c r="I12" s="5" t="s">
        <v>5661</v>
      </c>
      <c r="J12" s="2">
        <v>34942</v>
      </c>
      <c r="K12" s="1" t="s">
        <v>19</v>
      </c>
      <c r="L12" s="1" t="s">
        <v>111</v>
      </c>
      <c r="M12" s="1" t="s">
        <v>119</v>
      </c>
      <c r="N12" s="1" t="s">
        <v>120</v>
      </c>
      <c r="O12" s="1" t="s">
        <v>23</v>
      </c>
      <c r="P12" s="1" t="s">
        <v>121</v>
      </c>
      <c r="Q12" s="1">
        <f>31-619099727</f>
        <v>-619099696</v>
      </c>
      <c r="R12" s="1">
        <v>2013</v>
      </c>
    </row>
    <row r="13" spans="1:20" ht="15" customHeight="1" x14ac:dyDescent="0.25">
      <c r="A13" s="5" t="s">
        <v>45</v>
      </c>
      <c r="B13" s="1">
        <v>4326121</v>
      </c>
      <c r="C13" s="35" t="s">
        <v>5756</v>
      </c>
      <c r="D13" s="29" t="s">
        <v>77</v>
      </c>
      <c r="E13" s="1" t="s">
        <v>78</v>
      </c>
      <c r="F13" s="1" t="s">
        <v>28</v>
      </c>
      <c r="G13" s="5" t="s">
        <v>5555</v>
      </c>
      <c r="H13" s="5" t="s">
        <v>5713</v>
      </c>
      <c r="I13" s="5" t="s">
        <v>5661</v>
      </c>
      <c r="J13" s="2">
        <v>34854</v>
      </c>
      <c r="K13" s="1" t="s">
        <v>19</v>
      </c>
      <c r="L13" s="1" t="s">
        <v>20</v>
      </c>
      <c r="M13" s="1" t="s">
        <v>79</v>
      </c>
      <c r="N13" s="1" t="s">
        <v>80</v>
      </c>
      <c r="O13" s="1" t="s">
        <v>23</v>
      </c>
      <c r="P13" s="1" t="s">
        <v>81</v>
      </c>
      <c r="Q13" s="1">
        <f>31-612707331</f>
        <v>-612707300</v>
      </c>
      <c r="R13" s="1">
        <v>2013</v>
      </c>
    </row>
    <row r="14" spans="1:20" ht="15" customHeight="1" x14ac:dyDescent="0.25">
      <c r="A14" s="5" t="s">
        <v>45</v>
      </c>
      <c r="B14" s="1">
        <v>4219473</v>
      </c>
      <c r="C14" s="35" t="s">
        <v>5757</v>
      </c>
      <c r="D14" s="29" t="s">
        <v>82</v>
      </c>
      <c r="E14" s="1" t="s">
        <v>83</v>
      </c>
      <c r="F14" s="1" t="s">
        <v>84</v>
      </c>
      <c r="G14" s="5" t="s">
        <v>5555</v>
      </c>
      <c r="H14" s="5" t="s">
        <v>5713</v>
      </c>
      <c r="I14" s="5" t="s">
        <v>5661</v>
      </c>
      <c r="J14" s="2">
        <v>34492</v>
      </c>
      <c r="K14" s="1" t="s">
        <v>19</v>
      </c>
      <c r="L14" s="1" t="s">
        <v>20</v>
      </c>
      <c r="M14" s="1" t="s">
        <v>85</v>
      </c>
      <c r="N14" s="1" t="s">
        <v>86</v>
      </c>
      <c r="O14" s="1" t="s">
        <v>23</v>
      </c>
      <c r="P14" s="1" t="s">
        <v>87</v>
      </c>
      <c r="Q14" s="1">
        <f>31-655166921</f>
        <v>-655166890</v>
      </c>
      <c r="R14" s="1">
        <v>2012</v>
      </c>
      <c r="S14" s="1" t="s">
        <v>88</v>
      </c>
    </row>
    <row r="15" spans="1:20" ht="15" customHeight="1" x14ac:dyDescent="0.25">
      <c r="A15" s="5" t="s">
        <v>45</v>
      </c>
      <c r="B15" s="1">
        <v>4233085</v>
      </c>
      <c r="C15" s="35" t="s">
        <v>5758</v>
      </c>
      <c r="D15" s="29" t="s">
        <v>89</v>
      </c>
      <c r="E15" s="1" t="s">
        <v>90</v>
      </c>
      <c r="F15" s="1" t="s">
        <v>91</v>
      </c>
      <c r="G15" s="5" t="s">
        <v>5555</v>
      </c>
      <c r="H15" s="5" t="s">
        <v>5713</v>
      </c>
      <c r="I15" s="5" t="s">
        <v>5661</v>
      </c>
      <c r="J15" s="2">
        <v>34357</v>
      </c>
      <c r="K15" s="1" t="s">
        <v>92</v>
      </c>
      <c r="L15" s="1" t="s">
        <v>20</v>
      </c>
      <c r="M15" s="1" t="s">
        <v>93</v>
      </c>
      <c r="N15" s="1" t="s">
        <v>94</v>
      </c>
      <c r="O15" s="1" t="s">
        <v>23</v>
      </c>
      <c r="P15" s="1" t="s">
        <v>95</v>
      </c>
      <c r="Q15" s="1">
        <f>31-652881224</f>
        <v>-652881193</v>
      </c>
      <c r="R15" s="1">
        <v>2013</v>
      </c>
    </row>
    <row r="16" spans="1:20" ht="15" customHeight="1" x14ac:dyDescent="0.25">
      <c r="A16" s="5" t="s">
        <v>45</v>
      </c>
      <c r="B16" s="1">
        <v>4279875</v>
      </c>
      <c r="C16" s="35" t="s">
        <v>5759</v>
      </c>
      <c r="D16" s="29" t="s">
        <v>96</v>
      </c>
      <c r="E16" s="1" t="s">
        <v>97</v>
      </c>
      <c r="F16" s="1" t="s">
        <v>98</v>
      </c>
      <c r="G16" s="5" t="s">
        <v>5555</v>
      </c>
      <c r="H16" s="5" t="s">
        <v>5713</v>
      </c>
      <c r="I16" s="5" t="s">
        <v>5661</v>
      </c>
      <c r="J16" s="2">
        <v>34952</v>
      </c>
      <c r="K16" s="1" t="s">
        <v>19</v>
      </c>
      <c r="L16" s="1" t="s">
        <v>20</v>
      </c>
      <c r="M16" s="1" t="s">
        <v>99</v>
      </c>
      <c r="N16" s="1" t="s">
        <v>100</v>
      </c>
      <c r="O16" s="1" t="s">
        <v>23</v>
      </c>
      <c r="P16" s="1" t="s">
        <v>101</v>
      </c>
      <c r="R16" s="1">
        <v>2013</v>
      </c>
    </row>
    <row r="17" spans="1:20" ht="15" customHeight="1" x14ac:dyDescent="0.25">
      <c r="A17" s="5" t="s">
        <v>45</v>
      </c>
      <c r="B17" s="1">
        <v>4294440</v>
      </c>
      <c r="C17" s="35" t="s">
        <v>5760</v>
      </c>
      <c r="D17" s="29" t="s">
        <v>102</v>
      </c>
      <c r="E17" s="1" t="s">
        <v>103</v>
      </c>
      <c r="F17" s="1" t="s">
        <v>104</v>
      </c>
      <c r="G17" s="5" t="s">
        <v>5555</v>
      </c>
      <c r="H17" s="5" t="s">
        <v>5713</v>
      </c>
      <c r="I17" s="5" t="s">
        <v>5661</v>
      </c>
      <c r="J17" s="2">
        <v>34613</v>
      </c>
      <c r="K17" s="1" t="s">
        <v>19</v>
      </c>
      <c r="L17" s="1" t="s">
        <v>20</v>
      </c>
      <c r="M17" s="1" t="s">
        <v>105</v>
      </c>
      <c r="N17" s="1" t="s">
        <v>106</v>
      </c>
      <c r="O17" s="1" t="s">
        <v>23</v>
      </c>
      <c r="P17" s="1" t="s">
        <v>107</v>
      </c>
      <c r="Q17" s="1">
        <f>31-618848389</f>
        <v>-618848358</v>
      </c>
      <c r="R17" s="1">
        <v>2013</v>
      </c>
    </row>
    <row r="18" spans="1:20" ht="15" customHeight="1" x14ac:dyDescent="0.25">
      <c r="A18" s="5" t="s">
        <v>45</v>
      </c>
      <c r="B18" s="1">
        <v>4221990</v>
      </c>
      <c r="C18" s="35" t="s">
        <v>5761</v>
      </c>
      <c r="D18" s="29" t="s">
        <v>108</v>
      </c>
      <c r="E18" s="1" t="s">
        <v>109</v>
      </c>
      <c r="F18" s="1" t="s">
        <v>110</v>
      </c>
      <c r="G18" s="5" t="s">
        <v>5556</v>
      </c>
      <c r="H18" s="5" t="s">
        <v>5713</v>
      </c>
      <c r="I18" s="5" t="s">
        <v>5661</v>
      </c>
      <c r="J18" s="2">
        <v>33953</v>
      </c>
      <c r="K18" s="1" t="s">
        <v>19</v>
      </c>
      <c r="L18" s="1" t="s">
        <v>111</v>
      </c>
      <c r="M18" s="1" t="s">
        <v>112</v>
      </c>
      <c r="N18" s="1" t="s">
        <v>113</v>
      </c>
      <c r="O18" s="1" t="s">
        <v>23</v>
      </c>
      <c r="P18" s="1" t="s">
        <v>114</v>
      </c>
      <c r="Q18" s="9" t="s">
        <v>5221</v>
      </c>
      <c r="R18" s="1">
        <v>2013</v>
      </c>
      <c r="T18" s="1" t="s">
        <v>5217</v>
      </c>
    </row>
    <row r="19" spans="1:20" ht="15" customHeight="1" x14ac:dyDescent="0.25">
      <c r="A19" s="5" t="s">
        <v>45</v>
      </c>
      <c r="B19" s="1">
        <v>4303830</v>
      </c>
      <c r="C19" s="35" t="s">
        <v>5762</v>
      </c>
      <c r="D19" s="29" t="s">
        <v>134</v>
      </c>
      <c r="E19" s="1" t="s">
        <v>135</v>
      </c>
      <c r="F19" s="1" t="s">
        <v>136</v>
      </c>
      <c r="G19" s="5" t="s">
        <v>5556</v>
      </c>
      <c r="H19" s="5" t="s">
        <v>5713</v>
      </c>
      <c r="I19" s="5" t="s">
        <v>5661</v>
      </c>
      <c r="J19" s="2">
        <v>34387</v>
      </c>
      <c r="K19" s="1" t="s">
        <v>137</v>
      </c>
      <c r="L19" s="1" t="s">
        <v>20</v>
      </c>
      <c r="M19" s="1" t="s">
        <v>138</v>
      </c>
      <c r="N19" s="1" t="s">
        <v>139</v>
      </c>
      <c r="O19" s="1" t="s">
        <v>140</v>
      </c>
      <c r="P19" s="1" t="s">
        <v>141</v>
      </c>
      <c r="Q19" s="1">
        <f>32-477046068</f>
        <v>-477046036</v>
      </c>
      <c r="R19" s="1">
        <v>2013</v>
      </c>
    </row>
    <row r="20" spans="1:20" ht="15" customHeight="1" x14ac:dyDescent="0.25">
      <c r="A20" s="5" t="s">
        <v>45</v>
      </c>
      <c r="B20" s="1">
        <v>4257367</v>
      </c>
      <c r="C20" s="35" t="s">
        <v>5763</v>
      </c>
      <c r="D20" s="29" t="s">
        <v>148</v>
      </c>
      <c r="E20" s="1" t="s">
        <v>149</v>
      </c>
      <c r="F20" s="1" t="s">
        <v>68</v>
      </c>
      <c r="G20" s="5" t="s">
        <v>5556</v>
      </c>
      <c r="H20" s="5" t="s">
        <v>5713</v>
      </c>
      <c r="I20" s="5" t="s">
        <v>5661</v>
      </c>
      <c r="J20" s="2">
        <v>32377</v>
      </c>
      <c r="K20" s="1" t="s">
        <v>19</v>
      </c>
      <c r="L20" s="1" t="s">
        <v>20</v>
      </c>
      <c r="M20" s="1" t="s">
        <v>150</v>
      </c>
      <c r="N20" s="1" t="s">
        <v>151</v>
      </c>
      <c r="O20" s="1" t="s">
        <v>23</v>
      </c>
      <c r="P20" s="1" t="s">
        <v>152</v>
      </c>
      <c r="Q20" s="1">
        <f>31-622843121</f>
        <v>-622843090</v>
      </c>
      <c r="R20" s="1">
        <v>2012</v>
      </c>
      <c r="S20" s="1" t="s">
        <v>153</v>
      </c>
    </row>
    <row r="21" spans="1:20" ht="15" customHeight="1" x14ac:dyDescent="0.25">
      <c r="A21" s="5" t="s">
        <v>45</v>
      </c>
      <c r="B21" s="1">
        <v>4209079</v>
      </c>
      <c r="C21" s="35" t="s">
        <v>5764</v>
      </c>
      <c r="D21" s="29" t="s">
        <v>154</v>
      </c>
      <c r="E21" s="1" t="s">
        <v>155</v>
      </c>
      <c r="F21" s="1" t="s">
        <v>156</v>
      </c>
      <c r="G21" s="5" t="s">
        <v>5556</v>
      </c>
      <c r="H21" s="5" t="s">
        <v>5713</v>
      </c>
      <c r="I21" s="5" t="s">
        <v>5661</v>
      </c>
      <c r="J21" s="2">
        <v>34282</v>
      </c>
      <c r="K21" s="1" t="s">
        <v>19</v>
      </c>
      <c r="L21" s="1" t="s">
        <v>20</v>
      </c>
      <c r="M21" s="1" t="s">
        <v>157</v>
      </c>
      <c r="N21" s="1" t="s">
        <v>158</v>
      </c>
      <c r="O21" s="1" t="s">
        <v>23</v>
      </c>
      <c r="P21" s="1" t="s">
        <v>159</v>
      </c>
      <c r="Q21" s="1">
        <f>31-681913177</f>
        <v>-681913146</v>
      </c>
      <c r="R21" s="1">
        <v>2012</v>
      </c>
      <c r="S21" s="1" t="s">
        <v>88</v>
      </c>
    </row>
    <row r="22" spans="1:20" ht="15" customHeight="1" x14ac:dyDescent="0.25">
      <c r="A22" s="5" t="s">
        <v>45</v>
      </c>
      <c r="B22" s="1">
        <v>4302702</v>
      </c>
      <c r="C22" s="35" t="s">
        <v>5765</v>
      </c>
      <c r="D22" s="29" t="s">
        <v>160</v>
      </c>
      <c r="E22" s="1" t="s">
        <v>161</v>
      </c>
      <c r="F22" s="1" t="s">
        <v>156</v>
      </c>
      <c r="G22" s="5" t="s">
        <v>5556</v>
      </c>
      <c r="H22" s="5" t="s">
        <v>5713</v>
      </c>
      <c r="I22" s="5" t="s">
        <v>5661</v>
      </c>
      <c r="J22" s="2">
        <v>34439</v>
      </c>
      <c r="K22" s="1" t="s">
        <v>19</v>
      </c>
      <c r="L22" s="1" t="s">
        <v>20</v>
      </c>
      <c r="M22" s="1" t="s">
        <v>162</v>
      </c>
      <c r="N22" s="1" t="s">
        <v>163</v>
      </c>
      <c r="O22" s="1" t="s">
        <v>23</v>
      </c>
      <c r="P22" s="1" t="s">
        <v>164</v>
      </c>
      <c r="Q22" s="1">
        <f>31-639581385</f>
        <v>-639581354</v>
      </c>
      <c r="R22" s="1">
        <v>2013</v>
      </c>
    </row>
    <row r="23" spans="1:20" ht="15" customHeight="1" x14ac:dyDescent="0.25">
      <c r="A23" s="5" t="s">
        <v>45</v>
      </c>
      <c r="B23" s="1">
        <v>4304527</v>
      </c>
      <c r="C23" s="35" t="s">
        <v>5766</v>
      </c>
      <c r="D23" s="29" t="s">
        <v>195</v>
      </c>
      <c r="E23" s="1" t="s">
        <v>196</v>
      </c>
      <c r="F23" s="1" t="s">
        <v>197</v>
      </c>
      <c r="G23" s="5" t="s">
        <v>5556</v>
      </c>
      <c r="H23" s="5" t="s">
        <v>5713</v>
      </c>
      <c r="I23" s="5" t="s">
        <v>5661</v>
      </c>
      <c r="J23" s="2">
        <v>35234</v>
      </c>
      <c r="K23" s="1" t="s">
        <v>19</v>
      </c>
      <c r="L23" s="1" t="s">
        <v>111</v>
      </c>
      <c r="M23" s="1" t="s">
        <v>198</v>
      </c>
      <c r="N23" s="1" t="s">
        <v>199</v>
      </c>
      <c r="O23" s="1" t="s">
        <v>23</v>
      </c>
      <c r="P23" s="1" t="s">
        <v>200</v>
      </c>
      <c r="R23" s="1">
        <v>2013</v>
      </c>
    </row>
    <row r="24" spans="1:20" ht="15" customHeight="1" x14ac:dyDescent="0.25">
      <c r="A24" s="5" t="s">
        <v>45</v>
      </c>
      <c r="B24" s="1">
        <v>4299051</v>
      </c>
      <c r="C24" s="35" t="s">
        <v>5767</v>
      </c>
      <c r="D24" s="29" t="s">
        <v>201</v>
      </c>
      <c r="E24" s="1" t="s">
        <v>202</v>
      </c>
      <c r="F24" s="1" t="s">
        <v>203</v>
      </c>
      <c r="G24" s="5" t="s">
        <v>5556</v>
      </c>
      <c r="H24" s="5" t="s">
        <v>5713</v>
      </c>
      <c r="I24" s="5" t="s">
        <v>5661</v>
      </c>
      <c r="J24" s="2">
        <v>34673</v>
      </c>
      <c r="K24" s="1" t="s">
        <v>19</v>
      </c>
      <c r="L24" s="1" t="s">
        <v>111</v>
      </c>
      <c r="M24" s="1" t="s">
        <v>204</v>
      </c>
      <c r="N24" s="1" t="s">
        <v>205</v>
      </c>
      <c r="O24" s="1" t="s">
        <v>23</v>
      </c>
      <c r="P24" s="1" t="s">
        <v>206</v>
      </c>
      <c r="R24" s="1">
        <v>2013</v>
      </c>
    </row>
    <row r="25" spans="1:20" ht="15" customHeight="1" x14ac:dyDescent="0.25">
      <c r="A25" s="5" t="s">
        <v>45</v>
      </c>
      <c r="B25" s="1">
        <v>4326059</v>
      </c>
      <c r="C25" s="35" t="s">
        <v>5768</v>
      </c>
      <c r="D25" s="29" t="s">
        <v>171</v>
      </c>
      <c r="E25" s="1" t="s">
        <v>172</v>
      </c>
      <c r="F25" s="1" t="s">
        <v>173</v>
      </c>
      <c r="G25" s="5" t="s">
        <v>5556</v>
      </c>
      <c r="H25" s="5" t="s">
        <v>5713</v>
      </c>
      <c r="I25" s="5" t="s">
        <v>5661</v>
      </c>
      <c r="J25" s="2">
        <v>34761</v>
      </c>
      <c r="K25" s="1" t="s">
        <v>19</v>
      </c>
      <c r="L25" s="1" t="s">
        <v>20</v>
      </c>
      <c r="M25" s="1" t="s">
        <v>174</v>
      </c>
      <c r="N25" s="1" t="s">
        <v>175</v>
      </c>
      <c r="O25" s="1" t="s">
        <v>23</v>
      </c>
      <c r="P25" s="1" t="s">
        <v>176</v>
      </c>
      <c r="Q25" s="1">
        <f>31-642983858</f>
        <v>-642983827</v>
      </c>
      <c r="R25" s="1">
        <v>2013</v>
      </c>
    </row>
    <row r="26" spans="1:20" ht="15" customHeight="1" x14ac:dyDescent="0.25">
      <c r="A26" s="5" t="s">
        <v>45</v>
      </c>
      <c r="B26" s="1">
        <v>4327888</v>
      </c>
      <c r="C26" s="35" t="s">
        <v>5769</v>
      </c>
      <c r="D26" s="29" t="s">
        <v>216</v>
      </c>
      <c r="E26" s="1" t="s">
        <v>217</v>
      </c>
      <c r="F26" s="1" t="s">
        <v>218</v>
      </c>
      <c r="G26" s="5" t="s">
        <v>5557</v>
      </c>
      <c r="H26" s="5" t="s">
        <v>5713</v>
      </c>
      <c r="I26" s="5" t="s">
        <v>5662</v>
      </c>
      <c r="J26" s="2">
        <v>33668</v>
      </c>
      <c r="K26" s="1" t="s">
        <v>19</v>
      </c>
      <c r="L26" s="1" t="s">
        <v>20</v>
      </c>
      <c r="M26" s="1" t="s">
        <v>219</v>
      </c>
      <c r="N26" s="1" t="s">
        <v>220</v>
      </c>
      <c r="O26" s="1" t="s">
        <v>23</v>
      </c>
      <c r="P26" s="1" t="s">
        <v>221</v>
      </c>
      <c r="Q26" s="1">
        <f>31-621428743</f>
        <v>-621428712</v>
      </c>
      <c r="R26" s="1">
        <v>2013</v>
      </c>
    </row>
    <row r="27" spans="1:20" ht="15" customHeight="1" x14ac:dyDescent="0.25">
      <c r="A27" s="5" t="s">
        <v>45</v>
      </c>
      <c r="B27" s="1">
        <v>4134796</v>
      </c>
      <c r="C27" s="35" t="s">
        <v>5770</v>
      </c>
      <c r="D27" s="29" t="s">
        <v>222</v>
      </c>
      <c r="E27" s="1" t="s">
        <v>223</v>
      </c>
      <c r="F27" s="1" t="s">
        <v>224</v>
      </c>
      <c r="G27" s="5" t="s">
        <v>5557</v>
      </c>
      <c r="H27" s="5" t="s">
        <v>5713</v>
      </c>
      <c r="I27" s="5" t="s">
        <v>5662</v>
      </c>
      <c r="J27" s="2">
        <v>33992</v>
      </c>
      <c r="K27" s="1" t="s">
        <v>19</v>
      </c>
      <c r="L27" s="1" t="s">
        <v>20</v>
      </c>
      <c r="M27" s="1" t="s">
        <v>225</v>
      </c>
      <c r="N27" s="1" t="s">
        <v>226</v>
      </c>
      <c r="O27" s="1" t="s">
        <v>23</v>
      </c>
      <c r="P27" s="1" t="s">
        <v>227</v>
      </c>
      <c r="Q27" s="1">
        <f>599-5255819</f>
        <v>-5255220</v>
      </c>
      <c r="R27" s="1">
        <v>2011</v>
      </c>
      <c r="S27" s="1" t="s">
        <v>5223</v>
      </c>
    </row>
    <row r="28" spans="1:20" ht="15" customHeight="1" x14ac:dyDescent="0.25">
      <c r="A28" s="5" t="s">
        <v>45</v>
      </c>
      <c r="B28" s="1">
        <v>4078780</v>
      </c>
      <c r="C28" s="35" t="s">
        <v>5771</v>
      </c>
      <c r="D28" s="29" t="s">
        <v>228</v>
      </c>
      <c r="E28" s="1" t="s">
        <v>229</v>
      </c>
      <c r="F28" s="1" t="s">
        <v>230</v>
      </c>
      <c r="G28" s="5" t="s">
        <v>5557</v>
      </c>
      <c r="H28" s="5" t="s">
        <v>5713</v>
      </c>
      <c r="I28" s="5" t="s">
        <v>5662</v>
      </c>
      <c r="J28" s="2">
        <v>33441</v>
      </c>
      <c r="K28" s="1" t="s">
        <v>19</v>
      </c>
      <c r="L28" s="1" t="s">
        <v>20</v>
      </c>
      <c r="M28" s="1" t="s">
        <v>231</v>
      </c>
      <c r="N28" s="1" t="s">
        <v>232</v>
      </c>
      <c r="O28" s="1" t="s">
        <v>23</v>
      </c>
      <c r="P28" s="1" t="s">
        <v>233</v>
      </c>
      <c r="Q28" s="1">
        <f>31-630806570</f>
        <v>-630806539</v>
      </c>
      <c r="R28" s="1">
        <v>2010</v>
      </c>
      <c r="S28" s="1" t="s">
        <v>5223</v>
      </c>
    </row>
    <row r="29" spans="1:20" ht="15" customHeight="1" x14ac:dyDescent="0.25">
      <c r="A29" s="5" t="s">
        <v>45</v>
      </c>
      <c r="B29" s="1">
        <v>4324803</v>
      </c>
      <c r="C29" s="35" t="s">
        <v>5772</v>
      </c>
      <c r="D29" s="29" t="s">
        <v>234</v>
      </c>
      <c r="E29" s="1" t="s">
        <v>235</v>
      </c>
      <c r="F29" s="1" t="s">
        <v>236</v>
      </c>
      <c r="G29" s="5" t="s">
        <v>5557</v>
      </c>
      <c r="H29" s="5" t="s">
        <v>5713</v>
      </c>
      <c r="I29" s="5" t="s">
        <v>5662</v>
      </c>
      <c r="J29" s="2">
        <v>34486</v>
      </c>
      <c r="K29" s="1" t="s">
        <v>19</v>
      </c>
      <c r="L29" s="1" t="s">
        <v>20</v>
      </c>
      <c r="M29" s="1" t="s">
        <v>237</v>
      </c>
      <c r="N29" s="1" t="s">
        <v>238</v>
      </c>
      <c r="O29" s="1" t="s">
        <v>23</v>
      </c>
      <c r="P29" s="1" t="s">
        <v>239</v>
      </c>
      <c r="Q29" s="1">
        <f>31-681463510</f>
        <v>-681463479</v>
      </c>
      <c r="R29" s="1">
        <v>2013</v>
      </c>
    </row>
    <row r="30" spans="1:20" ht="15" customHeight="1" x14ac:dyDescent="0.25">
      <c r="A30" s="5" t="s">
        <v>45</v>
      </c>
      <c r="B30" s="1">
        <v>4317734</v>
      </c>
      <c r="C30" s="35" t="s">
        <v>5773</v>
      </c>
      <c r="D30" s="29" t="s">
        <v>257</v>
      </c>
      <c r="E30" s="1" t="s">
        <v>258</v>
      </c>
      <c r="F30" s="1" t="s">
        <v>259</v>
      </c>
      <c r="G30" s="5" t="s">
        <v>5557</v>
      </c>
      <c r="H30" s="5" t="s">
        <v>5713</v>
      </c>
      <c r="I30" s="5" t="s">
        <v>5662</v>
      </c>
      <c r="J30" s="2">
        <v>34866</v>
      </c>
      <c r="K30" s="1" t="s">
        <v>19</v>
      </c>
      <c r="L30" s="1" t="s">
        <v>20</v>
      </c>
      <c r="M30" s="1" t="s">
        <v>260</v>
      </c>
      <c r="N30" s="1" t="s">
        <v>261</v>
      </c>
      <c r="O30" s="1" t="s">
        <v>23</v>
      </c>
      <c r="P30" s="1" t="s">
        <v>262</v>
      </c>
      <c r="Q30" s="1">
        <f>31-610755797</f>
        <v>-610755766</v>
      </c>
      <c r="R30" s="1">
        <v>2013</v>
      </c>
    </row>
    <row r="31" spans="1:20" ht="15" customHeight="1" x14ac:dyDescent="0.25">
      <c r="A31" s="5" t="s">
        <v>45</v>
      </c>
      <c r="B31" s="1">
        <v>4298675</v>
      </c>
      <c r="C31" s="35" t="s">
        <v>5774</v>
      </c>
      <c r="D31" s="29" t="s">
        <v>263</v>
      </c>
      <c r="E31" s="1" t="s">
        <v>264</v>
      </c>
      <c r="F31" s="1" t="s">
        <v>265</v>
      </c>
      <c r="G31" s="5" t="s">
        <v>5557</v>
      </c>
      <c r="H31" s="5" t="s">
        <v>5713</v>
      </c>
      <c r="I31" s="5" t="s">
        <v>5662</v>
      </c>
      <c r="J31" s="2">
        <v>34840</v>
      </c>
      <c r="K31" s="1" t="s">
        <v>19</v>
      </c>
      <c r="L31" s="1" t="s">
        <v>20</v>
      </c>
      <c r="M31" s="1" t="s">
        <v>266</v>
      </c>
      <c r="N31" s="1" t="s">
        <v>267</v>
      </c>
      <c r="O31" s="1" t="s">
        <v>23</v>
      </c>
      <c r="P31" s="1" t="s">
        <v>268</v>
      </c>
      <c r="Q31" s="1">
        <f>31-610688598</f>
        <v>-610688567</v>
      </c>
      <c r="R31" s="1">
        <v>2013</v>
      </c>
    </row>
    <row r="32" spans="1:20" ht="15" customHeight="1" x14ac:dyDescent="0.25">
      <c r="A32" s="5" t="s">
        <v>45</v>
      </c>
      <c r="B32" s="1">
        <v>4211456</v>
      </c>
      <c r="C32" s="35" t="s">
        <v>5775</v>
      </c>
      <c r="D32" s="29" t="s">
        <v>269</v>
      </c>
      <c r="E32" s="1" t="s">
        <v>270</v>
      </c>
      <c r="F32" s="1" t="s">
        <v>271</v>
      </c>
      <c r="G32" s="5" t="s">
        <v>5557</v>
      </c>
      <c r="H32" s="5" t="s">
        <v>5713</v>
      </c>
      <c r="I32" s="5" t="s">
        <v>5662</v>
      </c>
      <c r="J32" s="2">
        <v>34358</v>
      </c>
      <c r="K32" s="1" t="s">
        <v>19</v>
      </c>
      <c r="L32" s="1" t="s">
        <v>20</v>
      </c>
      <c r="M32" s="1" t="s">
        <v>272</v>
      </c>
      <c r="N32" s="1" t="s">
        <v>273</v>
      </c>
      <c r="O32" s="1" t="s">
        <v>23</v>
      </c>
      <c r="P32" s="1" t="s">
        <v>274</v>
      </c>
      <c r="Q32" s="1">
        <f>31-644159909</f>
        <v>-644159878</v>
      </c>
      <c r="R32" s="1">
        <v>2012</v>
      </c>
      <c r="S32" s="1" t="s">
        <v>5222</v>
      </c>
    </row>
    <row r="33" spans="1:19" ht="15" customHeight="1" x14ac:dyDescent="0.25">
      <c r="A33" s="5" t="s">
        <v>45</v>
      </c>
      <c r="B33" s="1">
        <v>4289072</v>
      </c>
      <c r="C33" s="35" t="s">
        <v>5776</v>
      </c>
      <c r="D33" s="29" t="s">
        <v>281</v>
      </c>
      <c r="E33" s="1" t="s">
        <v>282</v>
      </c>
      <c r="F33" s="1" t="s">
        <v>283</v>
      </c>
      <c r="G33" s="5" t="s">
        <v>5557</v>
      </c>
      <c r="H33" s="5" t="s">
        <v>5713</v>
      </c>
      <c r="I33" s="5" t="s">
        <v>5662</v>
      </c>
      <c r="J33" s="2">
        <v>35136</v>
      </c>
      <c r="K33" s="1" t="s">
        <v>19</v>
      </c>
      <c r="L33" s="1" t="s">
        <v>20</v>
      </c>
      <c r="M33" s="1" t="s">
        <v>284</v>
      </c>
      <c r="N33" s="1" t="s">
        <v>285</v>
      </c>
      <c r="O33" s="1" t="s">
        <v>23</v>
      </c>
      <c r="P33" s="1" t="s">
        <v>286</v>
      </c>
      <c r="Q33" s="1">
        <f>31-634779210</f>
        <v>-634779179</v>
      </c>
      <c r="R33" s="1">
        <v>2013</v>
      </c>
    </row>
    <row r="34" spans="1:19" ht="15" customHeight="1" x14ac:dyDescent="0.25">
      <c r="A34" s="5" t="s">
        <v>45</v>
      </c>
      <c r="B34" s="1">
        <v>4335910</v>
      </c>
      <c r="C34" s="35" t="s">
        <v>5777</v>
      </c>
      <c r="D34" s="29" t="s">
        <v>305</v>
      </c>
      <c r="E34" s="1" t="s">
        <v>306</v>
      </c>
      <c r="F34" s="1" t="s">
        <v>179</v>
      </c>
      <c r="G34" s="5" t="s">
        <v>5558</v>
      </c>
      <c r="H34" s="5" t="s">
        <v>5713</v>
      </c>
      <c r="I34" s="5" t="s">
        <v>5662</v>
      </c>
      <c r="J34" s="2">
        <v>34364</v>
      </c>
      <c r="K34" s="1" t="s">
        <v>19</v>
      </c>
      <c r="L34" s="1" t="s">
        <v>20</v>
      </c>
      <c r="M34" s="1" t="s">
        <v>307</v>
      </c>
      <c r="N34" s="1" t="s">
        <v>308</v>
      </c>
      <c r="O34" s="1" t="s">
        <v>23</v>
      </c>
      <c r="P34" s="1" t="s">
        <v>309</v>
      </c>
      <c r="Q34" s="1">
        <f>31-631768020</f>
        <v>-631767989</v>
      </c>
      <c r="R34" s="1">
        <v>2013</v>
      </c>
    </row>
    <row r="35" spans="1:19" ht="15" customHeight="1" x14ac:dyDescent="0.25">
      <c r="A35" s="5" t="s">
        <v>45</v>
      </c>
      <c r="B35" s="1">
        <v>4209273</v>
      </c>
      <c r="C35" s="35" t="s">
        <v>5778</v>
      </c>
      <c r="D35" s="29" t="s">
        <v>310</v>
      </c>
      <c r="E35" s="1" t="s">
        <v>311</v>
      </c>
      <c r="F35" s="1" t="s">
        <v>312</v>
      </c>
      <c r="G35" s="5" t="s">
        <v>5558</v>
      </c>
      <c r="H35" s="5" t="s">
        <v>5713</v>
      </c>
      <c r="I35" s="5" t="s">
        <v>5662</v>
      </c>
      <c r="J35" s="2">
        <v>34297</v>
      </c>
      <c r="K35" s="1" t="s">
        <v>19</v>
      </c>
      <c r="L35" s="1" t="s">
        <v>20</v>
      </c>
      <c r="M35" s="1" t="s">
        <v>313</v>
      </c>
      <c r="N35" s="1" t="s">
        <v>314</v>
      </c>
      <c r="O35" s="1" t="s">
        <v>23</v>
      </c>
      <c r="P35" s="1" t="s">
        <v>315</v>
      </c>
      <c r="Q35" s="1">
        <f>31-621420682</f>
        <v>-621420651</v>
      </c>
      <c r="R35" s="1">
        <v>2012</v>
      </c>
      <c r="S35" s="1" t="s">
        <v>5222</v>
      </c>
    </row>
    <row r="36" spans="1:19" ht="15" customHeight="1" x14ac:dyDescent="0.25">
      <c r="A36" s="5" t="s">
        <v>45</v>
      </c>
      <c r="B36" s="1">
        <v>4326814</v>
      </c>
      <c r="C36" s="35" t="s">
        <v>5779</v>
      </c>
      <c r="D36" s="29" t="s">
        <v>327</v>
      </c>
      <c r="E36" s="1" t="s">
        <v>328</v>
      </c>
      <c r="F36" s="1" t="s">
        <v>329</v>
      </c>
      <c r="G36" s="5" t="s">
        <v>5558</v>
      </c>
      <c r="H36" s="5" t="s">
        <v>5713</v>
      </c>
      <c r="I36" s="5" t="s">
        <v>5662</v>
      </c>
      <c r="J36" s="2">
        <v>34657</v>
      </c>
      <c r="K36" s="1" t="s">
        <v>19</v>
      </c>
      <c r="L36" s="1" t="s">
        <v>20</v>
      </c>
      <c r="M36" s="1" t="s">
        <v>330</v>
      </c>
      <c r="N36" s="1" t="s">
        <v>331</v>
      </c>
      <c r="O36" s="1" t="s">
        <v>23</v>
      </c>
      <c r="P36" s="1" t="s">
        <v>332</v>
      </c>
      <c r="Q36" s="1">
        <f>31-614219303</f>
        <v>-614219272</v>
      </c>
      <c r="R36" s="1">
        <v>2013</v>
      </c>
    </row>
    <row r="37" spans="1:19" ht="15" customHeight="1" x14ac:dyDescent="0.25">
      <c r="A37" s="5" t="s">
        <v>45</v>
      </c>
      <c r="B37" s="1">
        <v>4323580</v>
      </c>
      <c r="C37" s="35" t="s">
        <v>5780</v>
      </c>
      <c r="D37" s="29" t="s">
        <v>340</v>
      </c>
      <c r="E37" s="1" t="s">
        <v>341</v>
      </c>
      <c r="F37" s="1" t="s">
        <v>342</v>
      </c>
      <c r="G37" s="5" t="s">
        <v>5558</v>
      </c>
      <c r="H37" s="5" t="s">
        <v>5713</v>
      </c>
      <c r="I37" s="5" t="s">
        <v>5662</v>
      </c>
      <c r="J37" s="2">
        <v>34332</v>
      </c>
      <c r="K37" s="1" t="s">
        <v>19</v>
      </c>
      <c r="L37" s="1" t="s">
        <v>20</v>
      </c>
      <c r="M37" s="1" t="s">
        <v>343</v>
      </c>
      <c r="N37" s="1" t="s">
        <v>344</v>
      </c>
      <c r="O37" s="1" t="s">
        <v>23</v>
      </c>
      <c r="P37" s="1" t="s">
        <v>345</v>
      </c>
      <c r="Q37" s="1">
        <f>31-612124601</f>
        <v>-612124570</v>
      </c>
      <c r="R37" s="1">
        <v>2013</v>
      </c>
    </row>
    <row r="38" spans="1:19" ht="15" customHeight="1" x14ac:dyDescent="0.25">
      <c r="A38" s="5" t="s">
        <v>45</v>
      </c>
      <c r="B38" s="1">
        <v>4290321</v>
      </c>
      <c r="C38" s="35" t="s">
        <v>5781</v>
      </c>
      <c r="D38" s="29" t="s">
        <v>346</v>
      </c>
      <c r="E38" s="1" t="s">
        <v>347</v>
      </c>
      <c r="F38" s="1" t="s">
        <v>348</v>
      </c>
      <c r="G38" s="5" t="s">
        <v>5558</v>
      </c>
      <c r="H38" s="5" t="s">
        <v>5713</v>
      </c>
      <c r="I38" s="5" t="s">
        <v>5662</v>
      </c>
      <c r="J38" s="2">
        <v>33915</v>
      </c>
      <c r="K38" s="1" t="s">
        <v>19</v>
      </c>
      <c r="L38" s="1" t="s">
        <v>20</v>
      </c>
      <c r="M38" s="1" t="s">
        <v>349</v>
      </c>
      <c r="N38" s="1" t="s">
        <v>350</v>
      </c>
      <c r="O38" s="1" t="s">
        <v>23</v>
      </c>
      <c r="P38" s="1" t="s">
        <v>351</v>
      </c>
      <c r="Q38" s="1">
        <f>31-613326259</f>
        <v>-613326228</v>
      </c>
      <c r="R38" s="1">
        <v>2013</v>
      </c>
    </row>
    <row r="39" spans="1:19" ht="15" customHeight="1" x14ac:dyDescent="0.25">
      <c r="A39" s="5" t="s">
        <v>45</v>
      </c>
      <c r="B39" s="1">
        <v>4322142</v>
      </c>
      <c r="C39" s="35" t="s">
        <v>5782</v>
      </c>
      <c r="D39" s="29" t="s">
        <v>352</v>
      </c>
      <c r="E39" s="1" t="s">
        <v>353</v>
      </c>
      <c r="F39" s="1" t="s">
        <v>354</v>
      </c>
      <c r="G39" s="5" t="s">
        <v>5558</v>
      </c>
      <c r="H39" s="5" t="s">
        <v>5713</v>
      </c>
      <c r="I39" s="5" t="s">
        <v>5662</v>
      </c>
      <c r="J39" s="2">
        <v>33573</v>
      </c>
      <c r="K39" s="1" t="s">
        <v>19</v>
      </c>
      <c r="L39" s="1" t="s">
        <v>20</v>
      </c>
      <c r="M39" s="1" t="s">
        <v>355</v>
      </c>
      <c r="N39" s="1" t="s">
        <v>356</v>
      </c>
      <c r="O39" s="1" t="s">
        <v>23</v>
      </c>
      <c r="P39" s="1" t="s">
        <v>357</v>
      </c>
      <c r="Q39" s="1">
        <f>31-652333952</f>
        <v>-652333921</v>
      </c>
      <c r="R39" s="1">
        <v>2013</v>
      </c>
    </row>
    <row r="40" spans="1:19" ht="15" customHeight="1" x14ac:dyDescent="0.25">
      <c r="A40" s="5" t="s">
        <v>45</v>
      </c>
      <c r="B40" s="1">
        <v>4293258</v>
      </c>
      <c r="C40" s="35" t="s">
        <v>5783</v>
      </c>
      <c r="D40" s="29" t="s">
        <v>364</v>
      </c>
      <c r="E40" s="1" t="s">
        <v>365</v>
      </c>
      <c r="F40" s="1" t="s">
        <v>366</v>
      </c>
      <c r="G40" s="5" t="s">
        <v>5558</v>
      </c>
      <c r="H40" s="5" t="s">
        <v>5713</v>
      </c>
      <c r="I40" s="5" t="s">
        <v>5662</v>
      </c>
      <c r="J40" s="2">
        <v>34737</v>
      </c>
      <c r="K40" s="1" t="s">
        <v>19</v>
      </c>
      <c r="L40" s="1" t="s">
        <v>20</v>
      </c>
      <c r="M40" s="1" t="s">
        <v>367</v>
      </c>
      <c r="N40" s="1" t="s">
        <v>368</v>
      </c>
      <c r="O40" s="1" t="s">
        <v>23</v>
      </c>
      <c r="P40" s="1" t="s">
        <v>369</v>
      </c>
      <c r="Q40" s="1">
        <f>31-681597830</f>
        <v>-681597799</v>
      </c>
      <c r="R40" s="1">
        <v>2013</v>
      </c>
    </row>
    <row r="41" spans="1:19" ht="15" customHeight="1" x14ac:dyDescent="0.25">
      <c r="A41" s="5" t="s">
        <v>45</v>
      </c>
      <c r="B41" s="1">
        <v>4318692</v>
      </c>
      <c r="C41" s="35" t="s">
        <v>5784</v>
      </c>
      <c r="D41" s="29" t="s">
        <v>376</v>
      </c>
      <c r="E41" s="1" t="s">
        <v>377</v>
      </c>
      <c r="F41" s="1" t="s">
        <v>378</v>
      </c>
      <c r="G41" s="5" t="s">
        <v>5558</v>
      </c>
      <c r="H41" s="5" t="s">
        <v>5713</v>
      </c>
      <c r="I41" s="5" t="s">
        <v>5662</v>
      </c>
      <c r="J41" s="2">
        <v>34173</v>
      </c>
      <c r="K41" s="1" t="s">
        <v>19</v>
      </c>
      <c r="L41" s="1" t="s">
        <v>20</v>
      </c>
      <c r="M41" s="1" t="s">
        <v>379</v>
      </c>
      <c r="N41" s="1" t="s">
        <v>380</v>
      </c>
      <c r="O41" s="1" t="s">
        <v>23</v>
      </c>
      <c r="P41" s="1" t="s">
        <v>381</v>
      </c>
      <c r="Q41" s="1">
        <f>31-617745012</f>
        <v>-617744981</v>
      </c>
      <c r="R41" s="1">
        <v>2013</v>
      </c>
    </row>
    <row r="42" spans="1:19" ht="15" customHeight="1" x14ac:dyDescent="0.25">
      <c r="A42" s="5" t="s">
        <v>45</v>
      </c>
      <c r="B42" s="1">
        <v>4273095</v>
      </c>
      <c r="C42" s="35" t="s">
        <v>5785</v>
      </c>
      <c r="D42" s="29" t="s">
        <v>394</v>
      </c>
      <c r="E42" s="1" t="s">
        <v>395</v>
      </c>
      <c r="F42" s="1" t="s">
        <v>396</v>
      </c>
      <c r="G42" s="5" t="s">
        <v>5559</v>
      </c>
      <c r="H42" s="5" t="s">
        <v>5713</v>
      </c>
      <c r="I42" s="5" t="s">
        <v>5663</v>
      </c>
      <c r="J42" s="2">
        <v>34175</v>
      </c>
      <c r="K42" s="1" t="s">
        <v>19</v>
      </c>
      <c r="L42" s="1" t="s">
        <v>20</v>
      </c>
      <c r="M42" s="1" t="s">
        <v>397</v>
      </c>
      <c r="N42" s="1" t="s">
        <v>398</v>
      </c>
      <c r="O42" s="1" t="s">
        <v>23</v>
      </c>
      <c r="P42" s="1" t="s">
        <v>399</v>
      </c>
      <c r="Q42" s="1">
        <f>31-650999498</f>
        <v>-650999467</v>
      </c>
      <c r="R42" s="1">
        <v>2012</v>
      </c>
      <c r="S42" s="1" t="s">
        <v>5222</v>
      </c>
    </row>
    <row r="43" spans="1:19" ht="15" customHeight="1" x14ac:dyDescent="0.25">
      <c r="A43" s="5" t="s">
        <v>45</v>
      </c>
      <c r="B43" s="1">
        <v>4299701</v>
      </c>
      <c r="C43" s="35" t="s">
        <v>5786</v>
      </c>
      <c r="D43" s="29" t="s">
        <v>412</v>
      </c>
      <c r="E43" s="1" t="s">
        <v>413</v>
      </c>
      <c r="F43" s="1" t="s">
        <v>414</v>
      </c>
      <c r="G43" s="5" t="s">
        <v>5559</v>
      </c>
      <c r="H43" s="5" t="s">
        <v>5713</v>
      </c>
      <c r="I43" s="5" t="s">
        <v>5663</v>
      </c>
      <c r="J43" s="2">
        <v>34518</v>
      </c>
      <c r="K43" s="1" t="s">
        <v>19</v>
      </c>
      <c r="L43" s="1" t="s">
        <v>20</v>
      </c>
      <c r="M43" s="1" t="s">
        <v>415</v>
      </c>
      <c r="N43" s="1" t="s">
        <v>416</v>
      </c>
      <c r="O43" s="1" t="s">
        <v>23</v>
      </c>
      <c r="P43" s="1" t="s">
        <v>417</v>
      </c>
      <c r="Q43" s="1">
        <f>31-648422824</f>
        <v>-648422793</v>
      </c>
      <c r="R43" s="1">
        <v>2013</v>
      </c>
    </row>
    <row r="44" spans="1:19" ht="15" customHeight="1" x14ac:dyDescent="0.25">
      <c r="A44" s="5" t="s">
        <v>45</v>
      </c>
      <c r="B44" s="1">
        <v>4260554</v>
      </c>
      <c r="C44" s="35" t="s">
        <v>5787</v>
      </c>
      <c r="D44" s="29" t="s">
        <v>475</v>
      </c>
      <c r="E44" s="1" t="s">
        <v>476</v>
      </c>
      <c r="F44" s="1" t="s">
        <v>477</v>
      </c>
      <c r="G44" s="5" t="s">
        <v>5559</v>
      </c>
      <c r="H44" s="5" t="s">
        <v>5713</v>
      </c>
      <c r="I44" s="5" t="s">
        <v>5663</v>
      </c>
      <c r="J44" s="2">
        <v>34764</v>
      </c>
      <c r="K44" s="1" t="s">
        <v>19</v>
      </c>
      <c r="L44" s="1" t="s">
        <v>111</v>
      </c>
      <c r="M44" s="1" t="s">
        <v>478</v>
      </c>
      <c r="N44" s="1" t="s">
        <v>479</v>
      </c>
      <c r="O44" s="1" t="s">
        <v>23</v>
      </c>
      <c r="P44" s="1" t="s">
        <v>480</v>
      </c>
      <c r="Q44" s="1">
        <f>31-611580497</f>
        <v>-611580466</v>
      </c>
      <c r="R44" s="1">
        <v>2012</v>
      </c>
      <c r="S44" s="1" t="s">
        <v>5225</v>
      </c>
    </row>
    <row r="45" spans="1:19" ht="15" customHeight="1" x14ac:dyDescent="0.25">
      <c r="A45" s="5" t="s">
        <v>45</v>
      </c>
      <c r="B45" s="1">
        <v>4207785</v>
      </c>
      <c r="C45" s="35" t="s">
        <v>5788</v>
      </c>
      <c r="D45" s="29" t="s">
        <v>423</v>
      </c>
      <c r="E45" s="1" t="s">
        <v>424</v>
      </c>
      <c r="F45" s="1" t="s">
        <v>425</v>
      </c>
      <c r="G45" s="5" t="s">
        <v>5559</v>
      </c>
      <c r="H45" s="5" t="s">
        <v>5713</v>
      </c>
      <c r="I45" s="5" t="s">
        <v>5663</v>
      </c>
      <c r="J45" s="2">
        <v>34191</v>
      </c>
      <c r="K45" s="1" t="s">
        <v>19</v>
      </c>
      <c r="L45" s="1" t="s">
        <v>20</v>
      </c>
      <c r="M45" s="1" t="s">
        <v>426</v>
      </c>
      <c r="N45" s="1" t="s">
        <v>427</v>
      </c>
      <c r="O45" s="1" t="s">
        <v>23</v>
      </c>
      <c r="P45" s="1" t="s">
        <v>428</v>
      </c>
      <c r="Q45" s="1">
        <f>31-619600626</f>
        <v>-619600595</v>
      </c>
      <c r="R45" s="1">
        <v>2012</v>
      </c>
      <c r="S45" s="1" t="s">
        <v>153</v>
      </c>
    </row>
    <row r="46" spans="1:19" ht="15" customHeight="1" x14ac:dyDescent="0.25">
      <c r="A46" s="5" t="s">
        <v>45</v>
      </c>
      <c r="B46" s="1">
        <v>4141032</v>
      </c>
      <c r="C46" s="35" t="s">
        <v>5789</v>
      </c>
      <c r="D46" s="29" t="s">
        <v>435</v>
      </c>
      <c r="E46" s="1" t="s">
        <v>436</v>
      </c>
      <c r="F46" s="1" t="s">
        <v>130</v>
      </c>
      <c r="G46" s="5" t="s">
        <v>5559</v>
      </c>
      <c r="H46" s="5" t="s">
        <v>5713</v>
      </c>
      <c r="I46" s="5" t="s">
        <v>5663</v>
      </c>
      <c r="J46" s="2">
        <v>33976</v>
      </c>
      <c r="K46" s="1" t="s">
        <v>437</v>
      </c>
      <c r="L46" s="1" t="s">
        <v>20</v>
      </c>
      <c r="M46" s="1" t="s">
        <v>438</v>
      </c>
      <c r="N46" s="1" t="s">
        <v>439</v>
      </c>
      <c r="O46" s="1" t="s">
        <v>23</v>
      </c>
      <c r="P46" s="1" t="s">
        <v>440</v>
      </c>
      <c r="Q46" s="1">
        <f>31-612631971</f>
        <v>-612631940</v>
      </c>
      <c r="R46" s="1">
        <v>2011</v>
      </c>
      <c r="S46" s="1" t="s">
        <v>5222</v>
      </c>
    </row>
    <row r="47" spans="1:19" ht="15" customHeight="1" x14ac:dyDescent="0.25">
      <c r="A47" s="5" t="s">
        <v>45</v>
      </c>
      <c r="B47" s="1">
        <v>4317343</v>
      </c>
      <c r="C47" s="35" t="s">
        <v>5790</v>
      </c>
      <c r="D47" s="29" t="s">
        <v>441</v>
      </c>
      <c r="E47" s="1" t="s">
        <v>442</v>
      </c>
      <c r="F47" s="1" t="s">
        <v>443</v>
      </c>
      <c r="G47" s="5" t="s">
        <v>5559</v>
      </c>
      <c r="H47" s="5" t="s">
        <v>5713</v>
      </c>
      <c r="I47" s="5" t="s">
        <v>5663</v>
      </c>
      <c r="J47" s="2">
        <v>34565</v>
      </c>
      <c r="K47" s="1" t="s">
        <v>19</v>
      </c>
      <c r="L47" s="1" t="s">
        <v>20</v>
      </c>
      <c r="M47" s="1" t="s">
        <v>444</v>
      </c>
      <c r="N47" s="1" t="s">
        <v>445</v>
      </c>
      <c r="O47" s="1" t="s">
        <v>23</v>
      </c>
      <c r="P47" s="1" t="s">
        <v>446</v>
      </c>
      <c r="Q47" s="1">
        <f>31-611773709</f>
        <v>-611773678</v>
      </c>
      <c r="R47" s="1">
        <v>2013</v>
      </c>
    </row>
    <row r="48" spans="1:19" ht="15" customHeight="1" x14ac:dyDescent="0.25">
      <c r="A48" s="5" t="s">
        <v>45</v>
      </c>
      <c r="B48" s="1">
        <v>4278216</v>
      </c>
      <c r="C48" s="35" t="s">
        <v>5791</v>
      </c>
      <c r="D48" s="29" t="s">
        <v>459</v>
      </c>
      <c r="E48" s="1" t="s">
        <v>460</v>
      </c>
      <c r="F48" s="1" t="s">
        <v>461</v>
      </c>
      <c r="G48" s="5" t="s">
        <v>5559</v>
      </c>
      <c r="H48" s="5" t="s">
        <v>5713</v>
      </c>
      <c r="I48" s="5" t="s">
        <v>5663</v>
      </c>
      <c r="J48" s="2">
        <v>34924</v>
      </c>
      <c r="K48" s="1" t="s">
        <v>19</v>
      </c>
      <c r="L48" s="1" t="s">
        <v>20</v>
      </c>
      <c r="M48" s="1" t="s">
        <v>462</v>
      </c>
      <c r="N48" s="1" t="s">
        <v>463</v>
      </c>
      <c r="O48" s="1" t="s">
        <v>23</v>
      </c>
      <c r="P48" s="1" t="s">
        <v>464</v>
      </c>
      <c r="Q48" s="1">
        <f>31-650595335</f>
        <v>-650595304</v>
      </c>
      <c r="R48" s="1">
        <v>2013</v>
      </c>
    </row>
    <row r="49" spans="1:19" ht="15" customHeight="1" x14ac:dyDescent="0.25">
      <c r="A49" s="5" t="s">
        <v>45</v>
      </c>
      <c r="B49" s="1">
        <v>4287398</v>
      </c>
      <c r="C49" s="35" t="s">
        <v>5792</v>
      </c>
      <c r="D49" s="29" t="s">
        <v>465</v>
      </c>
      <c r="E49" s="1" t="s">
        <v>466</v>
      </c>
      <c r="F49" s="1" t="s">
        <v>34</v>
      </c>
      <c r="G49" s="5" t="s">
        <v>5559</v>
      </c>
      <c r="H49" s="5" t="s">
        <v>5713</v>
      </c>
      <c r="I49" s="5" t="s">
        <v>5663</v>
      </c>
      <c r="J49" s="2">
        <v>34210</v>
      </c>
      <c r="K49" s="1" t="s">
        <v>19</v>
      </c>
      <c r="L49" s="1" t="s">
        <v>20</v>
      </c>
      <c r="M49" s="1" t="s">
        <v>467</v>
      </c>
      <c r="N49" s="1" t="s">
        <v>468</v>
      </c>
      <c r="O49" s="1" t="s">
        <v>23</v>
      </c>
      <c r="P49" s="1" t="s">
        <v>469</v>
      </c>
      <c r="Q49" s="1">
        <f>31-651029563</f>
        <v>-651029532</v>
      </c>
      <c r="R49" s="1">
        <v>2013</v>
      </c>
    </row>
    <row r="50" spans="1:19" ht="15" customHeight="1" x14ac:dyDescent="0.25">
      <c r="A50" s="5" t="s">
        <v>45</v>
      </c>
      <c r="B50" s="1">
        <v>4279336</v>
      </c>
      <c r="C50" s="35" t="s">
        <v>5793</v>
      </c>
      <c r="D50" s="29" t="s">
        <v>555</v>
      </c>
      <c r="E50" s="1" t="s">
        <v>556</v>
      </c>
      <c r="F50" s="1" t="s">
        <v>557</v>
      </c>
      <c r="G50" s="5" t="s">
        <v>5560</v>
      </c>
      <c r="H50" s="5" t="s">
        <v>5713</v>
      </c>
      <c r="I50" s="5" t="s">
        <v>5663</v>
      </c>
      <c r="J50" s="2">
        <v>34893</v>
      </c>
      <c r="K50" s="1" t="s">
        <v>19</v>
      </c>
      <c r="L50" s="1" t="s">
        <v>111</v>
      </c>
      <c r="M50" s="1" t="s">
        <v>558</v>
      </c>
      <c r="N50" s="1" t="s">
        <v>559</v>
      </c>
      <c r="O50" s="1" t="s">
        <v>23</v>
      </c>
      <c r="P50" s="1" t="s">
        <v>560</v>
      </c>
      <c r="Q50" s="1">
        <f>31-634606775</f>
        <v>-634606744</v>
      </c>
      <c r="R50" s="1">
        <v>2013</v>
      </c>
    </row>
    <row r="51" spans="1:19" ht="15" customHeight="1" x14ac:dyDescent="0.25">
      <c r="A51" s="5" t="s">
        <v>45</v>
      </c>
      <c r="B51" s="1">
        <v>4292421</v>
      </c>
      <c r="C51" s="35" t="s">
        <v>5794</v>
      </c>
      <c r="D51" s="29" t="s">
        <v>481</v>
      </c>
      <c r="E51" s="1" t="s">
        <v>482</v>
      </c>
      <c r="F51" s="1" t="s">
        <v>483</v>
      </c>
      <c r="G51" s="5" t="s">
        <v>5560</v>
      </c>
      <c r="H51" s="5" t="s">
        <v>5713</v>
      </c>
      <c r="I51" s="5" t="s">
        <v>5663</v>
      </c>
      <c r="J51" s="2">
        <v>34532</v>
      </c>
      <c r="K51" s="1" t="s">
        <v>19</v>
      </c>
      <c r="L51" s="1" t="s">
        <v>20</v>
      </c>
      <c r="M51" s="1" t="s">
        <v>484</v>
      </c>
      <c r="N51" s="1" t="s">
        <v>485</v>
      </c>
      <c r="O51" s="1" t="s">
        <v>23</v>
      </c>
      <c r="P51" s="1" t="s">
        <v>486</v>
      </c>
      <c r="Q51" s="1">
        <f>31-638044473</f>
        <v>-638044442</v>
      </c>
      <c r="R51" s="1">
        <v>2013</v>
      </c>
    </row>
    <row r="52" spans="1:19" ht="15" customHeight="1" x14ac:dyDescent="0.25">
      <c r="A52" s="5" t="s">
        <v>45</v>
      </c>
      <c r="B52" s="1">
        <v>4293312</v>
      </c>
      <c r="C52" s="35" t="s">
        <v>5795</v>
      </c>
      <c r="D52" s="29" t="s">
        <v>487</v>
      </c>
      <c r="E52" s="1" t="s">
        <v>488</v>
      </c>
      <c r="F52" s="1" t="s">
        <v>136</v>
      </c>
      <c r="G52" s="5" t="s">
        <v>5560</v>
      </c>
      <c r="H52" s="5" t="s">
        <v>5713</v>
      </c>
      <c r="I52" s="5" t="s">
        <v>5663</v>
      </c>
      <c r="J52" s="2">
        <v>34739</v>
      </c>
      <c r="K52" s="1" t="s">
        <v>19</v>
      </c>
      <c r="L52" s="1" t="s">
        <v>20</v>
      </c>
      <c r="M52" s="1" t="s">
        <v>489</v>
      </c>
      <c r="N52" s="1" t="s">
        <v>490</v>
      </c>
      <c r="O52" s="1" t="s">
        <v>23</v>
      </c>
      <c r="P52" s="1" t="s">
        <v>491</v>
      </c>
      <c r="R52" s="1">
        <v>2013</v>
      </c>
    </row>
    <row r="53" spans="1:19" ht="15" customHeight="1" x14ac:dyDescent="0.25">
      <c r="A53" s="5" t="s">
        <v>45</v>
      </c>
      <c r="B53" s="1">
        <v>4325680</v>
      </c>
      <c r="C53" s="35" t="s">
        <v>5796</v>
      </c>
      <c r="D53" s="29" t="s">
        <v>5710</v>
      </c>
      <c r="E53" s="1" t="s">
        <v>5711</v>
      </c>
      <c r="F53" s="1" t="s">
        <v>271</v>
      </c>
      <c r="G53" s="5" t="s">
        <v>5560</v>
      </c>
      <c r="H53" s="5" t="s">
        <v>5713</v>
      </c>
      <c r="I53" s="5" t="s">
        <v>5663</v>
      </c>
      <c r="J53" s="2">
        <v>34544</v>
      </c>
      <c r="K53" s="1" t="s">
        <v>19</v>
      </c>
      <c r="L53" s="1" t="s">
        <v>20</v>
      </c>
      <c r="M53" s="1" t="s">
        <v>489</v>
      </c>
      <c r="N53" s="1" t="s">
        <v>490</v>
      </c>
      <c r="O53" s="1" t="s">
        <v>23</v>
      </c>
      <c r="P53" s="1" t="s">
        <v>491</v>
      </c>
      <c r="R53" s="1">
        <v>2013</v>
      </c>
      <c r="S53" s="1" t="s">
        <v>5229</v>
      </c>
    </row>
    <row r="54" spans="1:19" ht="15" customHeight="1" x14ac:dyDescent="0.25">
      <c r="A54" s="5" t="s">
        <v>45</v>
      </c>
      <c r="B54" s="1">
        <v>4292855</v>
      </c>
      <c r="C54" s="35" t="s">
        <v>5797</v>
      </c>
      <c r="D54" s="29" t="s">
        <v>509</v>
      </c>
      <c r="E54" s="1" t="s">
        <v>510</v>
      </c>
      <c r="F54" s="1" t="s">
        <v>511</v>
      </c>
      <c r="G54" s="5" t="s">
        <v>5560</v>
      </c>
      <c r="H54" s="5" t="s">
        <v>5713</v>
      </c>
      <c r="I54" s="5" t="s">
        <v>5663</v>
      </c>
      <c r="J54" s="2">
        <v>34718</v>
      </c>
      <c r="K54" s="1" t="s">
        <v>19</v>
      </c>
      <c r="L54" s="1" t="s">
        <v>20</v>
      </c>
      <c r="M54" s="1" t="s">
        <v>512</v>
      </c>
      <c r="N54" s="1" t="s">
        <v>513</v>
      </c>
      <c r="O54" s="1" t="s">
        <v>23</v>
      </c>
      <c r="P54" s="1" t="s">
        <v>514</v>
      </c>
      <c r="Q54" s="1">
        <f>31-617484524</f>
        <v>-617484493</v>
      </c>
      <c r="R54" s="1">
        <v>2013</v>
      </c>
    </row>
    <row r="55" spans="1:19" ht="15" customHeight="1" x14ac:dyDescent="0.25">
      <c r="A55" s="5" t="s">
        <v>45</v>
      </c>
      <c r="B55" s="1">
        <v>4169735</v>
      </c>
      <c r="C55" s="35" t="s">
        <v>5798</v>
      </c>
      <c r="D55" s="29" t="s">
        <v>515</v>
      </c>
      <c r="E55" s="1" t="s">
        <v>516</v>
      </c>
      <c r="F55" s="1" t="s">
        <v>209</v>
      </c>
      <c r="G55" s="5" t="s">
        <v>5560</v>
      </c>
      <c r="H55" s="5" t="s">
        <v>5713</v>
      </c>
      <c r="I55" s="5" t="s">
        <v>5663</v>
      </c>
      <c r="J55" s="2">
        <v>33826</v>
      </c>
      <c r="K55" s="1" t="s">
        <v>517</v>
      </c>
      <c r="L55" s="1" t="s">
        <v>20</v>
      </c>
      <c r="M55" s="1" t="s">
        <v>518</v>
      </c>
      <c r="N55" s="1" t="s">
        <v>519</v>
      </c>
      <c r="O55" s="1" t="s">
        <v>140</v>
      </c>
      <c r="P55" s="1" t="s">
        <v>520</v>
      </c>
      <c r="Q55" s="1">
        <f>32-478385835</f>
        <v>-478385803</v>
      </c>
      <c r="R55" s="1">
        <v>2012</v>
      </c>
      <c r="S55" s="1" t="s">
        <v>88</v>
      </c>
    </row>
    <row r="56" spans="1:19" ht="15" customHeight="1" x14ac:dyDescent="0.25">
      <c r="A56" s="5" t="s">
        <v>45</v>
      </c>
      <c r="B56" s="1">
        <v>4313879</v>
      </c>
      <c r="C56" s="35" t="s">
        <v>5799</v>
      </c>
      <c r="D56" s="29" t="s">
        <v>537</v>
      </c>
      <c r="E56" s="1" t="s">
        <v>538</v>
      </c>
      <c r="F56" s="1" t="s">
        <v>539</v>
      </c>
      <c r="G56" s="5" t="s">
        <v>5560</v>
      </c>
      <c r="H56" s="5" t="s">
        <v>5713</v>
      </c>
      <c r="I56" s="5" t="s">
        <v>5663</v>
      </c>
      <c r="J56" s="2">
        <v>34735</v>
      </c>
      <c r="K56" s="1" t="s">
        <v>19</v>
      </c>
      <c r="L56" s="1" t="s">
        <v>20</v>
      </c>
      <c r="M56" s="1" t="s">
        <v>540</v>
      </c>
      <c r="N56" s="1" t="s">
        <v>541</v>
      </c>
      <c r="O56" s="1" t="s">
        <v>23</v>
      </c>
      <c r="P56" s="1" t="s">
        <v>542</v>
      </c>
      <c r="R56" s="1">
        <v>2013</v>
      </c>
    </row>
    <row r="57" spans="1:19" ht="15" customHeight="1" x14ac:dyDescent="0.25">
      <c r="A57" s="5" t="s">
        <v>45</v>
      </c>
      <c r="B57" s="1">
        <v>4307747</v>
      </c>
      <c r="C57" s="35" t="s">
        <v>5800</v>
      </c>
      <c r="D57" s="29" t="s">
        <v>543</v>
      </c>
      <c r="E57" s="1" t="s">
        <v>544</v>
      </c>
      <c r="F57" s="1" t="s">
        <v>545</v>
      </c>
      <c r="G57" s="5" t="s">
        <v>5560</v>
      </c>
      <c r="H57" s="5" t="s">
        <v>5713</v>
      </c>
      <c r="I57" s="5" t="s">
        <v>5663</v>
      </c>
      <c r="J57" s="2">
        <v>35152</v>
      </c>
      <c r="K57" s="1" t="s">
        <v>19</v>
      </c>
      <c r="L57" s="1" t="s">
        <v>20</v>
      </c>
      <c r="M57" s="1" t="s">
        <v>546</v>
      </c>
      <c r="N57" s="1" t="s">
        <v>547</v>
      </c>
      <c r="O57" s="1" t="s">
        <v>23</v>
      </c>
      <c r="P57" s="1" t="s">
        <v>548</v>
      </c>
      <c r="Q57" s="1">
        <f>31-650465952</f>
        <v>-650465921</v>
      </c>
      <c r="R57" s="1">
        <v>2013</v>
      </c>
    </row>
    <row r="58" spans="1:19" ht="15" customHeight="1" x14ac:dyDescent="0.25">
      <c r="A58" s="5" t="s">
        <v>45</v>
      </c>
      <c r="B58" s="1">
        <v>4250060</v>
      </c>
      <c r="C58" s="35" t="s">
        <v>5801</v>
      </c>
      <c r="D58" s="29" t="s">
        <v>583</v>
      </c>
      <c r="E58" s="1" t="s">
        <v>584</v>
      </c>
      <c r="F58" s="1" t="s">
        <v>585</v>
      </c>
      <c r="G58" s="5" t="s">
        <v>5561</v>
      </c>
      <c r="H58" s="5" t="s">
        <v>5713</v>
      </c>
      <c r="I58" s="5" t="s">
        <v>5664</v>
      </c>
      <c r="J58" s="2">
        <v>33697</v>
      </c>
      <c r="K58" s="1" t="s">
        <v>19</v>
      </c>
      <c r="L58" s="1" t="s">
        <v>20</v>
      </c>
      <c r="M58" s="1" t="s">
        <v>586</v>
      </c>
      <c r="N58" s="1" t="s">
        <v>587</v>
      </c>
      <c r="O58" s="1" t="s">
        <v>23</v>
      </c>
      <c r="P58" s="1" t="s">
        <v>588</v>
      </c>
      <c r="Q58" s="1">
        <f>31-683054216</f>
        <v>-683054185</v>
      </c>
      <c r="R58" s="1">
        <v>2012</v>
      </c>
      <c r="S58" s="1" t="s">
        <v>5222</v>
      </c>
    </row>
    <row r="59" spans="1:19" ht="15" customHeight="1" x14ac:dyDescent="0.25">
      <c r="A59" s="5" t="s">
        <v>45</v>
      </c>
      <c r="B59" s="1">
        <v>4110447</v>
      </c>
      <c r="C59" s="35" t="s">
        <v>5802</v>
      </c>
      <c r="D59" s="29" t="s">
        <v>4269</v>
      </c>
      <c r="E59" s="1" t="s">
        <v>4270</v>
      </c>
      <c r="F59" s="1" t="s">
        <v>4271</v>
      </c>
      <c r="G59" s="5" t="s">
        <v>5561</v>
      </c>
      <c r="H59" s="5" t="s">
        <v>5713</v>
      </c>
      <c r="I59" s="5" t="s">
        <v>5664</v>
      </c>
      <c r="J59" s="2">
        <v>33663</v>
      </c>
      <c r="K59" s="1" t="s">
        <v>19</v>
      </c>
      <c r="L59" s="1" t="s">
        <v>20</v>
      </c>
      <c r="M59" s="1" t="s">
        <v>4272</v>
      </c>
      <c r="N59" s="1" t="s">
        <v>4273</v>
      </c>
      <c r="O59" s="1" t="s">
        <v>23</v>
      </c>
      <c r="P59" s="1" t="s">
        <v>4274</v>
      </c>
      <c r="Q59" s="1">
        <f>31-624177691</f>
        <v>-624177660</v>
      </c>
      <c r="R59" s="1">
        <v>2010</v>
      </c>
    </row>
    <row r="60" spans="1:19" ht="15" customHeight="1" x14ac:dyDescent="0.25">
      <c r="A60" s="5" t="s">
        <v>45</v>
      </c>
      <c r="B60" s="1">
        <v>4319168</v>
      </c>
      <c r="C60" s="35" t="s">
        <v>5803</v>
      </c>
      <c r="D60" s="29" t="s">
        <v>601</v>
      </c>
      <c r="E60" s="1" t="s">
        <v>602</v>
      </c>
      <c r="F60" s="1" t="s">
        <v>603</v>
      </c>
      <c r="G60" s="5" t="s">
        <v>5561</v>
      </c>
      <c r="H60" s="5" t="s">
        <v>5713</v>
      </c>
      <c r="I60" s="5" t="s">
        <v>5664</v>
      </c>
      <c r="J60" s="2">
        <v>34257</v>
      </c>
      <c r="K60" s="1" t="s">
        <v>19</v>
      </c>
      <c r="L60" s="1" t="s">
        <v>20</v>
      </c>
      <c r="M60" s="1" t="s">
        <v>604</v>
      </c>
      <c r="N60" s="1" t="s">
        <v>605</v>
      </c>
      <c r="O60" s="1" t="s">
        <v>23</v>
      </c>
      <c r="P60" s="1" t="s">
        <v>606</v>
      </c>
      <c r="Q60" s="1">
        <f>31-654684434</f>
        <v>-654684403</v>
      </c>
      <c r="R60" s="1">
        <v>2013</v>
      </c>
    </row>
    <row r="61" spans="1:19" ht="15" customHeight="1" x14ac:dyDescent="0.25">
      <c r="A61" s="5" t="s">
        <v>45</v>
      </c>
      <c r="B61" s="1">
        <v>4315154</v>
      </c>
      <c r="C61" s="35" t="s">
        <v>5804</v>
      </c>
      <c r="D61" s="29" t="s">
        <v>613</v>
      </c>
      <c r="E61" s="1" t="s">
        <v>614</v>
      </c>
      <c r="F61" s="1" t="s">
        <v>615</v>
      </c>
      <c r="G61" s="5" t="s">
        <v>5561</v>
      </c>
      <c r="H61" s="5" t="s">
        <v>5713</v>
      </c>
      <c r="I61" s="5" t="s">
        <v>5664</v>
      </c>
      <c r="J61" s="2">
        <v>34394</v>
      </c>
      <c r="K61" s="1" t="s">
        <v>19</v>
      </c>
      <c r="L61" s="1" t="s">
        <v>20</v>
      </c>
      <c r="M61" s="1" t="s">
        <v>616</v>
      </c>
      <c r="N61" s="1" t="s">
        <v>617</v>
      </c>
      <c r="O61" s="1" t="s">
        <v>23</v>
      </c>
      <c r="P61" s="1" t="s">
        <v>618</v>
      </c>
      <c r="Q61" s="1">
        <f>31-653994522</f>
        <v>-653994491</v>
      </c>
      <c r="R61" s="1">
        <v>2013</v>
      </c>
    </row>
    <row r="62" spans="1:19" ht="15" customHeight="1" x14ac:dyDescent="0.25">
      <c r="A62" s="5" t="s">
        <v>45</v>
      </c>
      <c r="B62" s="1">
        <v>4286553</v>
      </c>
      <c r="C62" s="35" t="s">
        <v>5805</v>
      </c>
      <c r="D62" s="29" t="s">
        <v>647</v>
      </c>
      <c r="E62" s="1" t="s">
        <v>648</v>
      </c>
      <c r="F62" s="1" t="s">
        <v>649</v>
      </c>
      <c r="G62" s="5" t="s">
        <v>5561</v>
      </c>
      <c r="H62" s="5" t="s">
        <v>5713</v>
      </c>
      <c r="I62" s="5" t="s">
        <v>5664</v>
      </c>
      <c r="J62" s="2">
        <v>34771</v>
      </c>
      <c r="K62" s="1" t="s">
        <v>19</v>
      </c>
      <c r="L62" s="1" t="s">
        <v>111</v>
      </c>
      <c r="M62" s="1" t="s">
        <v>650</v>
      </c>
      <c r="N62" s="1" t="s">
        <v>651</v>
      </c>
      <c r="O62" s="1" t="s">
        <v>23</v>
      </c>
      <c r="P62" s="1" t="s">
        <v>652</v>
      </c>
      <c r="Q62" s="1">
        <f>31-630790015</f>
        <v>-630789984</v>
      </c>
      <c r="R62" s="1">
        <v>2013</v>
      </c>
    </row>
    <row r="63" spans="1:19" ht="15" customHeight="1" x14ac:dyDescent="0.25">
      <c r="A63" s="5" t="s">
        <v>45</v>
      </c>
      <c r="B63" s="1">
        <v>4270010</v>
      </c>
      <c r="C63" s="35" t="s">
        <v>5806</v>
      </c>
      <c r="D63" s="29" t="s">
        <v>635</v>
      </c>
      <c r="E63" s="1" t="s">
        <v>636</v>
      </c>
      <c r="F63" s="1" t="s">
        <v>637</v>
      </c>
      <c r="G63" s="5" t="s">
        <v>5561</v>
      </c>
      <c r="H63" s="5" t="s">
        <v>5713</v>
      </c>
      <c r="I63" s="5" t="s">
        <v>5664</v>
      </c>
      <c r="J63" s="2">
        <v>34139</v>
      </c>
      <c r="K63" s="1" t="s">
        <v>19</v>
      </c>
      <c r="L63" s="1" t="s">
        <v>20</v>
      </c>
      <c r="M63" s="1" t="s">
        <v>638</v>
      </c>
      <c r="N63" s="1" t="s">
        <v>639</v>
      </c>
      <c r="O63" s="1" t="s">
        <v>23</v>
      </c>
      <c r="P63" s="1" t="s">
        <v>640</v>
      </c>
      <c r="Q63" s="1">
        <f>31-618492750</f>
        <v>-618492719</v>
      </c>
      <c r="R63" s="1">
        <v>2013</v>
      </c>
    </row>
    <row r="64" spans="1:19" ht="15" customHeight="1" x14ac:dyDescent="0.25">
      <c r="A64" s="5" t="s">
        <v>45</v>
      </c>
      <c r="B64" s="1">
        <v>4293576</v>
      </c>
      <c r="C64" s="35" t="s">
        <v>5807</v>
      </c>
      <c r="D64" s="29" t="s">
        <v>653</v>
      </c>
      <c r="E64" s="1" t="s">
        <v>654</v>
      </c>
      <c r="F64" s="1" t="s">
        <v>655</v>
      </c>
      <c r="G64" s="5" t="s">
        <v>5561</v>
      </c>
      <c r="H64" s="5" t="s">
        <v>5713</v>
      </c>
      <c r="I64" s="5" t="s">
        <v>5664</v>
      </c>
      <c r="J64" s="2">
        <v>34832</v>
      </c>
      <c r="K64" s="1" t="s">
        <v>19</v>
      </c>
      <c r="L64" s="1" t="s">
        <v>111</v>
      </c>
      <c r="M64" s="1" t="s">
        <v>656</v>
      </c>
      <c r="N64" s="1" t="s">
        <v>657</v>
      </c>
      <c r="O64" s="1" t="s">
        <v>23</v>
      </c>
      <c r="P64" s="1" t="s">
        <v>658</v>
      </c>
      <c r="Q64" s="1">
        <f>31-642912677</f>
        <v>-642912646</v>
      </c>
      <c r="R64" s="1">
        <v>2013</v>
      </c>
    </row>
    <row r="65" spans="1:19" ht="15" customHeight="1" x14ac:dyDescent="0.25">
      <c r="A65" s="5" t="s">
        <v>45</v>
      </c>
      <c r="B65" s="1">
        <v>4272676</v>
      </c>
      <c r="C65" s="35" t="s">
        <v>5808</v>
      </c>
      <c r="D65" s="29" t="s">
        <v>641</v>
      </c>
      <c r="E65" s="1" t="s">
        <v>642</v>
      </c>
      <c r="F65" s="1" t="s">
        <v>643</v>
      </c>
      <c r="G65" s="5" t="s">
        <v>5561</v>
      </c>
      <c r="H65" s="5" t="s">
        <v>5713</v>
      </c>
      <c r="I65" s="5" t="s">
        <v>5664</v>
      </c>
      <c r="J65" s="2">
        <v>34607</v>
      </c>
      <c r="K65" s="1" t="s">
        <v>19</v>
      </c>
      <c r="L65" s="1" t="s">
        <v>20</v>
      </c>
      <c r="M65" s="1" t="s">
        <v>644</v>
      </c>
      <c r="N65" s="1" t="s">
        <v>645</v>
      </c>
      <c r="O65" s="1" t="s">
        <v>23</v>
      </c>
      <c r="P65" s="1" t="s">
        <v>646</v>
      </c>
      <c r="Q65" s="1">
        <f>31-627571399</f>
        <v>-627571368</v>
      </c>
      <c r="R65" s="1">
        <v>2013</v>
      </c>
    </row>
    <row r="66" spans="1:19" ht="15" customHeight="1" x14ac:dyDescent="0.25">
      <c r="A66" s="5" t="s">
        <v>45</v>
      </c>
      <c r="B66" s="1">
        <v>4250206</v>
      </c>
      <c r="C66" s="35" t="s">
        <v>5809</v>
      </c>
      <c r="D66" s="29" t="s">
        <v>671</v>
      </c>
      <c r="E66" s="1" t="s">
        <v>672</v>
      </c>
      <c r="F66" s="1" t="s">
        <v>242</v>
      </c>
      <c r="G66" s="5" t="s">
        <v>5562</v>
      </c>
      <c r="H66" s="5" t="s">
        <v>5713</v>
      </c>
      <c r="I66" s="5" t="s">
        <v>5664</v>
      </c>
      <c r="J66" s="2">
        <v>34130</v>
      </c>
      <c r="K66" s="1" t="s">
        <v>19</v>
      </c>
      <c r="L66" s="1" t="s">
        <v>20</v>
      </c>
      <c r="M66" s="1" t="s">
        <v>673</v>
      </c>
      <c r="N66" s="1" t="s">
        <v>674</v>
      </c>
      <c r="O66" s="1" t="s">
        <v>23</v>
      </c>
      <c r="P66" s="1" t="s">
        <v>675</v>
      </c>
      <c r="Q66" s="1">
        <f>31-681115217</f>
        <v>-681115186</v>
      </c>
      <c r="R66" s="1">
        <v>2012</v>
      </c>
      <c r="S66" s="1" t="s">
        <v>5222</v>
      </c>
    </row>
    <row r="67" spans="1:19" ht="15" customHeight="1" x14ac:dyDescent="0.25">
      <c r="A67" s="5" t="s">
        <v>45</v>
      </c>
      <c r="B67" s="1">
        <v>4275284</v>
      </c>
      <c r="C67" s="35" t="s">
        <v>5810</v>
      </c>
      <c r="D67" s="29" t="s">
        <v>682</v>
      </c>
      <c r="E67" s="1" t="s">
        <v>683</v>
      </c>
      <c r="F67" s="1" t="s">
        <v>684</v>
      </c>
      <c r="G67" s="5" t="s">
        <v>5562</v>
      </c>
      <c r="H67" s="5" t="s">
        <v>5713</v>
      </c>
      <c r="I67" s="5" t="s">
        <v>5664</v>
      </c>
      <c r="J67" s="2">
        <v>34850</v>
      </c>
      <c r="K67" s="1" t="s">
        <v>19</v>
      </c>
      <c r="L67" s="1" t="s">
        <v>20</v>
      </c>
      <c r="M67" s="1" t="s">
        <v>685</v>
      </c>
      <c r="N67" s="1" t="s">
        <v>686</v>
      </c>
      <c r="O67" s="1" t="s">
        <v>23</v>
      </c>
      <c r="P67" s="1" t="s">
        <v>687</v>
      </c>
      <c r="Q67" s="1">
        <f>31-627905900</f>
        <v>-627905869</v>
      </c>
      <c r="R67" s="1">
        <v>2013</v>
      </c>
    </row>
    <row r="68" spans="1:19" ht="15" customHeight="1" x14ac:dyDescent="0.25">
      <c r="A68" s="5" t="s">
        <v>45</v>
      </c>
      <c r="B68" s="1">
        <v>4147200</v>
      </c>
      <c r="C68" s="35" t="s">
        <v>5811</v>
      </c>
      <c r="D68" s="29" t="s">
        <v>739</v>
      </c>
      <c r="E68" s="1" t="s">
        <v>740</v>
      </c>
      <c r="F68" s="1" t="s">
        <v>741</v>
      </c>
      <c r="G68" s="5" t="s">
        <v>5562</v>
      </c>
      <c r="H68" s="5" t="s">
        <v>5713</v>
      </c>
      <c r="I68" s="5" t="s">
        <v>5664</v>
      </c>
      <c r="J68" s="2">
        <v>33769</v>
      </c>
      <c r="K68" s="1" t="s">
        <v>742</v>
      </c>
      <c r="L68" s="1" t="s">
        <v>111</v>
      </c>
      <c r="M68" s="1" t="s">
        <v>743</v>
      </c>
      <c r="N68" s="1" t="s">
        <v>744</v>
      </c>
      <c r="O68" s="1" t="s">
        <v>23</v>
      </c>
      <c r="P68" s="1" t="s">
        <v>745</v>
      </c>
      <c r="Q68" s="1">
        <f>31-643878332</f>
        <v>-643878301</v>
      </c>
      <c r="R68" s="1">
        <v>2011</v>
      </c>
      <c r="S68" s="1" t="s">
        <v>5226</v>
      </c>
    </row>
    <row r="69" spans="1:19" ht="15" customHeight="1" x14ac:dyDescent="0.25">
      <c r="A69" s="5" t="s">
        <v>45</v>
      </c>
      <c r="B69" s="1">
        <v>4292456</v>
      </c>
      <c r="C69" s="35" t="s">
        <v>5812</v>
      </c>
      <c r="D69" s="29" t="s">
        <v>694</v>
      </c>
      <c r="E69" s="1" t="s">
        <v>695</v>
      </c>
      <c r="F69" s="1" t="s">
        <v>696</v>
      </c>
      <c r="G69" s="5" t="s">
        <v>5562</v>
      </c>
      <c r="H69" s="5" t="s">
        <v>5713</v>
      </c>
      <c r="I69" s="5" t="s">
        <v>5664</v>
      </c>
      <c r="J69" s="2">
        <v>34884</v>
      </c>
      <c r="K69" s="1" t="s">
        <v>19</v>
      </c>
      <c r="L69" s="1" t="s">
        <v>20</v>
      </c>
      <c r="M69" s="1" t="s">
        <v>697</v>
      </c>
      <c r="N69" s="1" t="s">
        <v>698</v>
      </c>
      <c r="O69" s="1" t="s">
        <v>23</v>
      </c>
      <c r="P69" s="1" t="s">
        <v>699</v>
      </c>
      <c r="Q69" s="1">
        <f>31-641674499</f>
        <v>-641674468</v>
      </c>
      <c r="R69" s="1">
        <v>2013</v>
      </c>
    </row>
    <row r="70" spans="1:19" ht="15" customHeight="1" x14ac:dyDescent="0.25">
      <c r="A70" s="5" t="s">
        <v>45</v>
      </c>
      <c r="B70" s="1">
        <v>4302249</v>
      </c>
      <c r="C70" s="35" t="s">
        <v>5813</v>
      </c>
      <c r="D70" s="29" t="s">
        <v>705</v>
      </c>
      <c r="E70" s="1" t="s">
        <v>706</v>
      </c>
      <c r="F70" s="1" t="s">
        <v>707</v>
      </c>
      <c r="G70" s="5" t="s">
        <v>5562</v>
      </c>
      <c r="H70" s="5" t="s">
        <v>5713</v>
      </c>
      <c r="I70" s="5" t="s">
        <v>5664</v>
      </c>
      <c r="J70" s="2">
        <v>34967</v>
      </c>
      <c r="K70" s="1" t="s">
        <v>19</v>
      </c>
      <c r="L70" s="1" t="s">
        <v>20</v>
      </c>
      <c r="M70" s="1" t="s">
        <v>708</v>
      </c>
      <c r="N70" s="1" t="s">
        <v>709</v>
      </c>
      <c r="O70" s="1" t="s">
        <v>23</v>
      </c>
      <c r="P70" s="1" t="s">
        <v>710</v>
      </c>
      <c r="Q70" s="1">
        <f>31-611284987</f>
        <v>-611284956</v>
      </c>
      <c r="R70" s="1">
        <v>2013</v>
      </c>
    </row>
    <row r="71" spans="1:19" ht="15" customHeight="1" x14ac:dyDescent="0.25">
      <c r="A71" s="5" t="s">
        <v>45</v>
      </c>
      <c r="B71" s="1">
        <v>4292979</v>
      </c>
      <c r="C71" s="35" t="s">
        <v>5815</v>
      </c>
      <c r="D71" s="29" t="s">
        <v>746</v>
      </c>
      <c r="E71" s="1" t="s">
        <v>747</v>
      </c>
      <c r="F71" s="1" t="s">
        <v>748</v>
      </c>
      <c r="G71" s="5" t="s">
        <v>5562</v>
      </c>
      <c r="H71" s="5" t="s">
        <v>5713</v>
      </c>
      <c r="I71" s="5" t="s">
        <v>5664</v>
      </c>
      <c r="J71" s="2">
        <v>35143</v>
      </c>
      <c r="K71" s="1" t="s">
        <v>19</v>
      </c>
      <c r="L71" s="1" t="s">
        <v>111</v>
      </c>
      <c r="M71" s="1" t="s">
        <v>749</v>
      </c>
      <c r="N71" s="1" t="s">
        <v>750</v>
      </c>
      <c r="O71" s="1" t="s">
        <v>23</v>
      </c>
      <c r="P71" s="1" t="s">
        <v>751</v>
      </c>
      <c r="Q71" s="1">
        <f>31-657934108</f>
        <v>-657934077</v>
      </c>
      <c r="R71" s="1">
        <v>2013</v>
      </c>
    </row>
    <row r="72" spans="1:19" ht="15" customHeight="1" x14ac:dyDescent="0.25">
      <c r="A72" s="5" t="s">
        <v>45</v>
      </c>
      <c r="B72" s="1">
        <v>4303636</v>
      </c>
      <c r="C72" s="35" t="s">
        <v>5816</v>
      </c>
      <c r="D72" s="29" t="s">
        <v>711</v>
      </c>
      <c r="E72" s="1" t="s">
        <v>712</v>
      </c>
      <c r="F72" s="1" t="s">
        <v>483</v>
      </c>
      <c r="G72" s="5" t="s">
        <v>5562</v>
      </c>
      <c r="H72" s="5" t="s">
        <v>5713</v>
      </c>
      <c r="I72" s="5" t="s">
        <v>5664</v>
      </c>
      <c r="J72" s="2">
        <v>34770</v>
      </c>
      <c r="K72" s="1" t="s">
        <v>19</v>
      </c>
      <c r="L72" s="1" t="s">
        <v>20</v>
      </c>
      <c r="M72" s="1" t="s">
        <v>713</v>
      </c>
      <c r="N72" s="1" t="s">
        <v>714</v>
      </c>
      <c r="O72" s="1" t="s">
        <v>23</v>
      </c>
      <c r="P72" s="1" t="s">
        <v>715</v>
      </c>
      <c r="R72" s="1">
        <v>2013</v>
      </c>
    </row>
    <row r="73" spans="1:19" ht="15" customHeight="1" x14ac:dyDescent="0.25">
      <c r="A73" s="5" t="s">
        <v>45</v>
      </c>
      <c r="B73" s="1">
        <v>4289498</v>
      </c>
      <c r="C73" s="35" t="s">
        <v>5817</v>
      </c>
      <c r="D73" s="29" t="s">
        <v>769</v>
      </c>
      <c r="E73" s="1" t="s">
        <v>770</v>
      </c>
      <c r="F73" s="1" t="s">
        <v>771</v>
      </c>
      <c r="G73" s="5" t="s">
        <v>5563</v>
      </c>
      <c r="H73" s="5" t="s">
        <v>5714</v>
      </c>
      <c r="I73" s="5" t="s">
        <v>5665</v>
      </c>
      <c r="J73" s="2">
        <v>34442</v>
      </c>
      <c r="K73" s="1" t="s">
        <v>19</v>
      </c>
      <c r="L73" s="1" t="s">
        <v>20</v>
      </c>
      <c r="M73" s="1" t="s">
        <v>772</v>
      </c>
      <c r="N73" s="1" t="s">
        <v>773</v>
      </c>
      <c r="O73" s="1" t="s">
        <v>23</v>
      </c>
      <c r="P73" s="1" t="s">
        <v>774</v>
      </c>
      <c r="Q73" s="1">
        <f>31-646072365</f>
        <v>-646072334</v>
      </c>
      <c r="R73" s="1">
        <v>2013</v>
      </c>
    </row>
    <row r="74" spans="1:19" ht="15" customHeight="1" x14ac:dyDescent="0.25">
      <c r="A74" s="5" t="s">
        <v>45</v>
      </c>
      <c r="B74" s="1">
        <v>4238591</v>
      </c>
      <c r="C74" s="35" t="s">
        <v>5818</v>
      </c>
      <c r="D74" s="29" t="s">
        <v>775</v>
      </c>
      <c r="E74" s="1" t="s">
        <v>776</v>
      </c>
      <c r="F74" s="1" t="s">
        <v>84</v>
      </c>
      <c r="G74" s="5" t="s">
        <v>5563</v>
      </c>
      <c r="H74" s="5" t="s">
        <v>5714</v>
      </c>
      <c r="I74" s="5" t="s">
        <v>5665</v>
      </c>
      <c r="J74" s="2">
        <v>33169</v>
      </c>
      <c r="K74" s="1" t="s">
        <v>19</v>
      </c>
      <c r="L74" s="1" t="s">
        <v>20</v>
      </c>
      <c r="M74" s="1" t="s">
        <v>777</v>
      </c>
      <c r="N74" s="1" t="s">
        <v>778</v>
      </c>
      <c r="O74" s="1" t="s">
        <v>23</v>
      </c>
      <c r="P74" s="1" t="s">
        <v>779</v>
      </c>
      <c r="Q74" s="1">
        <f>31-613049638</f>
        <v>-613049607</v>
      </c>
      <c r="R74" s="1">
        <v>2012</v>
      </c>
      <c r="S74" s="1" t="s">
        <v>5222</v>
      </c>
    </row>
    <row r="75" spans="1:19" ht="15" customHeight="1" x14ac:dyDescent="0.25">
      <c r="A75" s="5" t="s">
        <v>45</v>
      </c>
      <c r="B75" s="1">
        <v>4229614</v>
      </c>
      <c r="C75" s="35" t="s">
        <v>5820</v>
      </c>
      <c r="D75" s="29" t="s">
        <v>1425</v>
      </c>
      <c r="E75" s="1" t="s">
        <v>1426</v>
      </c>
      <c r="F75" s="1" t="s">
        <v>511</v>
      </c>
      <c r="G75" s="5" t="s">
        <v>5563</v>
      </c>
      <c r="H75" s="5" t="s">
        <v>5714</v>
      </c>
      <c r="I75" s="5" t="s">
        <v>5665</v>
      </c>
      <c r="J75" s="2">
        <v>33993</v>
      </c>
      <c r="K75" s="1" t="s">
        <v>19</v>
      </c>
      <c r="L75" s="1" t="s">
        <v>20</v>
      </c>
      <c r="M75" s="1" t="s">
        <v>1427</v>
      </c>
      <c r="N75" s="1" t="s">
        <v>1428</v>
      </c>
      <c r="O75" s="1" t="s">
        <v>23</v>
      </c>
      <c r="P75" s="1" t="s">
        <v>1429</v>
      </c>
      <c r="Q75" s="1">
        <f>31-613760261</f>
        <v>-613760230</v>
      </c>
      <c r="R75" s="1">
        <v>2012</v>
      </c>
      <c r="S75" s="1" t="s">
        <v>5222</v>
      </c>
    </row>
    <row r="76" spans="1:19" ht="15" customHeight="1" x14ac:dyDescent="0.25">
      <c r="A76" s="5" t="s">
        <v>45</v>
      </c>
      <c r="B76" s="1">
        <v>4280105</v>
      </c>
      <c r="C76" s="35" t="s">
        <v>5821</v>
      </c>
      <c r="D76" s="29" t="s">
        <v>786</v>
      </c>
      <c r="E76" s="1" t="s">
        <v>787</v>
      </c>
      <c r="F76" s="1" t="s">
        <v>788</v>
      </c>
      <c r="G76" s="5" t="s">
        <v>5563</v>
      </c>
      <c r="H76" s="5" t="s">
        <v>5714</v>
      </c>
      <c r="I76" s="5" t="s">
        <v>5665</v>
      </c>
      <c r="J76" s="2">
        <v>34822</v>
      </c>
      <c r="K76" s="1" t="s">
        <v>19</v>
      </c>
      <c r="L76" s="1" t="s">
        <v>20</v>
      </c>
      <c r="M76" s="1" t="s">
        <v>789</v>
      </c>
      <c r="N76" s="1" t="s">
        <v>790</v>
      </c>
      <c r="O76" s="1" t="s">
        <v>23</v>
      </c>
      <c r="P76" s="1" t="s">
        <v>791</v>
      </c>
      <c r="Q76" s="1">
        <f>31-629106880</f>
        <v>-629106849</v>
      </c>
      <c r="R76" s="1">
        <v>2013</v>
      </c>
    </row>
    <row r="77" spans="1:19" ht="15" customHeight="1" x14ac:dyDescent="0.25">
      <c r="A77" s="5" t="s">
        <v>45</v>
      </c>
      <c r="B77" s="1">
        <v>4288173</v>
      </c>
      <c r="C77" s="35" t="s">
        <v>5822</v>
      </c>
      <c r="D77" s="29" t="s">
        <v>797</v>
      </c>
      <c r="E77" s="1" t="s">
        <v>798</v>
      </c>
      <c r="F77" s="1" t="s">
        <v>799</v>
      </c>
      <c r="G77" s="5" t="s">
        <v>5563</v>
      </c>
      <c r="H77" s="5" t="s">
        <v>5714</v>
      </c>
      <c r="I77" s="5" t="s">
        <v>5665</v>
      </c>
      <c r="J77" s="2">
        <v>34627</v>
      </c>
      <c r="K77" s="1" t="s">
        <v>19</v>
      </c>
      <c r="L77" s="1" t="s">
        <v>20</v>
      </c>
      <c r="M77" s="1" t="s">
        <v>800</v>
      </c>
      <c r="N77" s="1" t="s">
        <v>801</v>
      </c>
      <c r="O77" s="1" t="s">
        <v>23</v>
      </c>
      <c r="P77" s="1" t="s">
        <v>802</v>
      </c>
      <c r="Q77" s="1">
        <f>31-642326704</f>
        <v>-642326673</v>
      </c>
      <c r="R77" s="1">
        <v>2013</v>
      </c>
    </row>
    <row r="78" spans="1:19" ht="15" customHeight="1" x14ac:dyDescent="0.25">
      <c r="A78" s="5" t="s">
        <v>45</v>
      </c>
      <c r="B78" s="1">
        <v>4320476</v>
      </c>
      <c r="C78" s="35" t="s">
        <v>5823</v>
      </c>
      <c r="D78" s="29" t="s">
        <v>1430</v>
      </c>
      <c r="E78" s="1" t="s">
        <v>1431</v>
      </c>
      <c r="F78" s="1" t="s">
        <v>1432</v>
      </c>
      <c r="G78" s="5" t="s">
        <v>5563</v>
      </c>
      <c r="H78" s="5" t="s">
        <v>5714</v>
      </c>
      <c r="I78" s="5" t="s">
        <v>5665</v>
      </c>
      <c r="J78" s="2">
        <v>34934</v>
      </c>
      <c r="K78" s="1" t="s">
        <v>19</v>
      </c>
      <c r="L78" s="1" t="s">
        <v>20</v>
      </c>
      <c r="M78" s="1" t="s">
        <v>1433</v>
      </c>
      <c r="N78" s="1" t="s">
        <v>1434</v>
      </c>
      <c r="O78" s="1" t="s">
        <v>23</v>
      </c>
      <c r="P78" s="1" t="s">
        <v>1435</v>
      </c>
      <c r="R78" s="1">
        <v>2013</v>
      </c>
    </row>
    <row r="79" spans="1:19" ht="15" customHeight="1" x14ac:dyDescent="0.25">
      <c r="A79" s="5" t="s">
        <v>45</v>
      </c>
      <c r="B79" s="1">
        <v>4334337</v>
      </c>
      <c r="C79" s="35" t="s">
        <v>5824</v>
      </c>
      <c r="D79" s="29" t="s">
        <v>809</v>
      </c>
      <c r="E79" s="1" t="s">
        <v>810</v>
      </c>
      <c r="F79" s="1" t="s">
        <v>811</v>
      </c>
      <c r="G79" s="5" t="s">
        <v>5563</v>
      </c>
      <c r="H79" s="5" t="s">
        <v>5714</v>
      </c>
      <c r="I79" s="5" t="s">
        <v>5665</v>
      </c>
      <c r="J79" s="2">
        <v>34502</v>
      </c>
      <c r="K79" s="1" t="s">
        <v>19</v>
      </c>
      <c r="L79" s="1" t="s">
        <v>20</v>
      </c>
      <c r="M79" s="1" t="s">
        <v>812</v>
      </c>
      <c r="N79" s="1" t="s">
        <v>813</v>
      </c>
      <c r="O79" s="1" t="s">
        <v>23</v>
      </c>
      <c r="P79" s="1" t="s">
        <v>814</v>
      </c>
      <c r="Q79" s="1">
        <f>31-643241759</f>
        <v>-643241728</v>
      </c>
      <c r="R79" s="1">
        <v>2013</v>
      </c>
    </row>
    <row r="80" spans="1:19" ht="15" customHeight="1" x14ac:dyDescent="0.25">
      <c r="A80" s="5" t="s">
        <v>45</v>
      </c>
      <c r="B80" s="1">
        <v>4318803</v>
      </c>
      <c r="C80" s="35" t="s">
        <v>5825</v>
      </c>
      <c r="D80" s="29" t="s">
        <v>821</v>
      </c>
      <c r="E80" s="1" t="s">
        <v>822</v>
      </c>
      <c r="F80" s="1" t="s">
        <v>823</v>
      </c>
      <c r="G80" s="5" t="s">
        <v>5564</v>
      </c>
      <c r="H80" s="5" t="s">
        <v>5714</v>
      </c>
      <c r="I80" s="5" t="s">
        <v>5665</v>
      </c>
      <c r="J80" s="2">
        <v>34556</v>
      </c>
      <c r="K80" s="1" t="s">
        <v>19</v>
      </c>
      <c r="L80" s="1" t="s">
        <v>20</v>
      </c>
      <c r="M80" s="1" t="s">
        <v>824</v>
      </c>
      <c r="N80" s="1" t="s">
        <v>825</v>
      </c>
      <c r="O80" s="1" t="s">
        <v>23</v>
      </c>
      <c r="P80" s="1" t="s">
        <v>826</v>
      </c>
      <c r="Q80" s="1">
        <f>31-611085812</f>
        <v>-611085781</v>
      </c>
      <c r="R80" s="1">
        <v>2013</v>
      </c>
    </row>
    <row r="81" spans="1:20" ht="15" customHeight="1" x14ac:dyDescent="0.25">
      <c r="A81" s="5" t="s">
        <v>45</v>
      </c>
      <c r="B81" s="1">
        <v>4290445</v>
      </c>
      <c r="C81" s="35" t="s">
        <v>5826</v>
      </c>
      <c r="D81" s="29" t="s">
        <v>827</v>
      </c>
      <c r="E81" s="1" t="s">
        <v>828</v>
      </c>
      <c r="F81" s="1" t="s">
        <v>301</v>
      </c>
      <c r="G81" s="5" t="s">
        <v>5564</v>
      </c>
      <c r="H81" s="5" t="s">
        <v>5714</v>
      </c>
      <c r="I81" s="5" t="s">
        <v>5665</v>
      </c>
      <c r="J81" s="2">
        <v>34788</v>
      </c>
      <c r="K81" s="1" t="s">
        <v>19</v>
      </c>
      <c r="L81" s="1" t="s">
        <v>20</v>
      </c>
      <c r="M81" s="1" t="s">
        <v>829</v>
      </c>
      <c r="N81" s="1" t="s">
        <v>830</v>
      </c>
      <c r="O81" s="1" t="s">
        <v>23</v>
      </c>
      <c r="P81" s="1" t="s">
        <v>831</v>
      </c>
      <c r="Q81" s="1">
        <f>31-683659214</f>
        <v>-683659183</v>
      </c>
      <c r="R81" s="1">
        <v>2013</v>
      </c>
    </row>
    <row r="82" spans="1:20" ht="15" customHeight="1" x14ac:dyDescent="0.25">
      <c r="A82" s="5" t="s">
        <v>45</v>
      </c>
      <c r="B82" s="1">
        <v>4290348</v>
      </c>
      <c r="C82" s="35" t="s">
        <v>5827</v>
      </c>
      <c r="D82" s="29" t="s">
        <v>832</v>
      </c>
      <c r="E82" s="1" t="s">
        <v>833</v>
      </c>
      <c r="F82" s="1" t="s">
        <v>834</v>
      </c>
      <c r="G82" s="5" t="s">
        <v>5564</v>
      </c>
      <c r="H82" s="5" t="s">
        <v>5714</v>
      </c>
      <c r="I82" s="5" t="s">
        <v>5665</v>
      </c>
      <c r="J82" s="2">
        <v>34833</v>
      </c>
      <c r="K82" s="1" t="s">
        <v>19</v>
      </c>
      <c r="L82" s="1" t="s">
        <v>20</v>
      </c>
      <c r="M82" s="1" t="s">
        <v>835</v>
      </c>
      <c r="N82" s="1" t="s">
        <v>836</v>
      </c>
      <c r="O82" s="1" t="s">
        <v>140</v>
      </c>
      <c r="P82" s="1" t="s">
        <v>837</v>
      </c>
      <c r="Q82" s="1">
        <f>506-84308055</f>
        <v>-84307549</v>
      </c>
      <c r="R82" s="1">
        <v>2013</v>
      </c>
    </row>
    <row r="83" spans="1:20" ht="15" customHeight="1" x14ac:dyDescent="0.25">
      <c r="A83" s="5" t="s">
        <v>45</v>
      </c>
      <c r="B83" s="1">
        <v>4298403</v>
      </c>
      <c r="C83" s="35" t="s">
        <v>5828</v>
      </c>
      <c r="D83" s="29" t="s">
        <v>3894</v>
      </c>
      <c r="E83" s="1" t="s">
        <v>3895</v>
      </c>
      <c r="F83" s="1" t="s">
        <v>1942</v>
      </c>
      <c r="G83" s="5" t="s">
        <v>5564</v>
      </c>
      <c r="H83" s="5" t="s">
        <v>5714</v>
      </c>
      <c r="I83" s="5" t="s">
        <v>5665</v>
      </c>
      <c r="J83" s="2">
        <v>34606</v>
      </c>
      <c r="K83" s="1" t="s">
        <v>19</v>
      </c>
      <c r="L83" s="1" t="s">
        <v>20</v>
      </c>
      <c r="M83" s="1" t="s">
        <v>3896</v>
      </c>
      <c r="N83" s="1" t="s">
        <v>3897</v>
      </c>
      <c r="O83" s="1" t="s">
        <v>23</v>
      </c>
      <c r="P83" s="1" t="s">
        <v>3898</v>
      </c>
      <c r="Q83" s="1">
        <f>31-627465273</f>
        <v>-627465242</v>
      </c>
      <c r="R83" s="1">
        <v>2013</v>
      </c>
    </row>
    <row r="84" spans="1:20" ht="15" customHeight="1" x14ac:dyDescent="0.25">
      <c r="A84" s="5" t="s">
        <v>45</v>
      </c>
      <c r="B84" s="1">
        <v>4305213</v>
      </c>
      <c r="C84" s="35" t="s">
        <v>5829</v>
      </c>
      <c r="D84" s="29" t="s">
        <v>843</v>
      </c>
      <c r="E84" s="1" t="s">
        <v>844</v>
      </c>
      <c r="F84" s="1" t="s">
        <v>845</v>
      </c>
      <c r="G84" s="5" t="s">
        <v>5564</v>
      </c>
      <c r="H84" s="5" t="s">
        <v>5714</v>
      </c>
      <c r="I84" s="5" t="s">
        <v>5665</v>
      </c>
      <c r="J84" s="2">
        <v>34666</v>
      </c>
      <c r="K84" s="1" t="s">
        <v>19</v>
      </c>
      <c r="L84" s="1" t="s">
        <v>20</v>
      </c>
      <c r="M84" s="1" t="s">
        <v>846</v>
      </c>
      <c r="N84" s="1" t="s">
        <v>847</v>
      </c>
      <c r="O84" s="1" t="s">
        <v>23</v>
      </c>
      <c r="P84" s="1" t="s">
        <v>848</v>
      </c>
      <c r="Q84" s="1">
        <f>31-614230828</f>
        <v>-614230797</v>
      </c>
      <c r="R84" s="1">
        <v>2013</v>
      </c>
    </row>
    <row r="85" spans="1:20" ht="15" customHeight="1" x14ac:dyDescent="0.25">
      <c r="A85" s="5" t="s">
        <v>45</v>
      </c>
      <c r="B85" s="1">
        <v>4283651</v>
      </c>
      <c r="C85" s="35" t="s">
        <v>5830</v>
      </c>
      <c r="D85" s="29" t="s">
        <v>854</v>
      </c>
      <c r="E85" s="1" t="s">
        <v>855</v>
      </c>
      <c r="F85" s="1" t="s">
        <v>856</v>
      </c>
      <c r="G85" s="5" t="s">
        <v>5564</v>
      </c>
      <c r="H85" s="5" t="s">
        <v>5714</v>
      </c>
      <c r="I85" s="5" t="s">
        <v>5665</v>
      </c>
      <c r="J85" s="2">
        <v>34428</v>
      </c>
      <c r="K85" s="1" t="s">
        <v>19</v>
      </c>
      <c r="L85" s="1" t="s">
        <v>20</v>
      </c>
      <c r="M85" s="1" t="s">
        <v>857</v>
      </c>
      <c r="N85" s="1" t="s">
        <v>858</v>
      </c>
      <c r="O85" s="1" t="s">
        <v>23</v>
      </c>
      <c r="P85" s="1" t="s">
        <v>859</v>
      </c>
      <c r="Q85" s="1">
        <f>31-610242143</f>
        <v>-610242112</v>
      </c>
      <c r="R85" s="1">
        <v>2013</v>
      </c>
    </row>
    <row r="86" spans="1:20" ht="15" customHeight="1" x14ac:dyDescent="0.25">
      <c r="A86" s="31" t="s">
        <v>45</v>
      </c>
      <c r="B86" s="1">
        <v>4319133</v>
      </c>
      <c r="C86" s="35" t="s">
        <v>5831</v>
      </c>
      <c r="D86" s="29" t="s">
        <v>865</v>
      </c>
      <c r="E86" s="1" t="s">
        <v>866</v>
      </c>
      <c r="F86" s="1" t="s">
        <v>867</v>
      </c>
      <c r="G86" s="31" t="s">
        <v>5564</v>
      </c>
      <c r="H86" s="31" t="s">
        <v>5714</v>
      </c>
      <c r="I86" s="31" t="s">
        <v>5665</v>
      </c>
      <c r="J86" s="2">
        <v>34658</v>
      </c>
      <c r="K86" s="1" t="s">
        <v>19</v>
      </c>
      <c r="L86" s="1" t="s">
        <v>20</v>
      </c>
      <c r="M86" s="1" t="s">
        <v>868</v>
      </c>
      <c r="N86" s="1" t="s">
        <v>869</v>
      </c>
      <c r="O86" s="1" t="s">
        <v>23</v>
      </c>
      <c r="P86" s="1" t="s">
        <v>870</v>
      </c>
      <c r="Q86" s="1">
        <f>31-614544864</f>
        <v>-614544833</v>
      </c>
      <c r="R86" s="1">
        <v>2013</v>
      </c>
    </row>
    <row r="87" spans="1:20" ht="15" customHeight="1" x14ac:dyDescent="0.25">
      <c r="A87" s="5" t="s">
        <v>45</v>
      </c>
      <c r="B87" s="1">
        <v>4227778</v>
      </c>
      <c r="C87" s="35" t="s">
        <v>5832</v>
      </c>
      <c r="D87" s="29" t="s">
        <v>887</v>
      </c>
      <c r="E87" s="1" t="s">
        <v>888</v>
      </c>
      <c r="F87" s="1" t="s">
        <v>889</v>
      </c>
      <c r="G87" s="5" t="s">
        <v>5565</v>
      </c>
      <c r="H87" s="5" t="s">
        <v>5714</v>
      </c>
      <c r="I87" s="5" t="s">
        <v>5666</v>
      </c>
      <c r="J87" s="2">
        <v>34506</v>
      </c>
      <c r="K87" s="1" t="s">
        <v>19</v>
      </c>
      <c r="L87" s="1" t="s">
        <v>20</v>
      </c>
      <c r="M87" s="1" t="s">
        <v>890</v>
      </c>
      <c r="N87" s="1" t="s">
        <v>891</v>
      </c>
      <c r="O87" s="1" t="s">
        <v>23</v>
      </c>
      <c r="P87" s="1" t="s">
        <v>892</v>
      </c>
      <c r="Q87" s="1">
        <f>31-647586358</f>
        <v>-647586327</v>
      </c>
      <c r="R87" s="1">
        <v>2012</v>
      </c>
      <c r="S87" s="1" t="s">
        <v>5222</v>
      </c>
    </row>
    <row r="88" spans="1:20" ht="15" customHeight="1" x14ac:dyDescent="0.25">
      <c r="A88" s="31" t="s">
        <v>45</v>
      </c>
      <c r="B88" s="1">
        <v>4303814</v>
      </c>
      <c r="C88" s="35" t="s">
        <v>5833</v>
      </c>
      <c r="D88" s="29" t="s">
        <v>893</v>
      </c>
      <c r="E88" s="1" t="s">
        <v>894</v>
      </c>
      <c r="F88" s="1" t="s">
        <v>301</v>
      </c>
      <c r="G88" s="31" t="s">
        <v>5565</v>
      </c>
      <c r="H88" s="31" t="s">
        <v>5714</v>
      </c>
      <c r="I88" s="31" t="s">
        <v>5666</v>
      </c>
      <c r="J88" s="2">
        <v>34904</v>
      </c>
      <c r="K88" s="1" t="s">
        <v>19</v>
      </c>
      <c r="L88" s="1" t="s">
        <v>20</v>
      </c>
      <c r="M88" s="1" t="s">
        <v>895</v>
      </c>
      <c r="N88" s="1" t="s">
        <v>896</v>
      </c>
      <c r="O88" s="1" t="s">
        <v>23</v>
      </c>
      <c r="P88" s="1" t="s">
        <v>897</v>
      </c>
      <c r="Q88" s="1">
        <f>31-634847216</f>
        <v>-634847185</v>
      </c>
      <c r="R88" s="1">
        <v>2013</v>
      </c>
    </row>
    <row r="89" spans="1:20" ht="15" customHeight="1" x14ac:dyDescent="0.25">
      <c r="A89" s="5" t="s">
        <v>45</v>
      </c>
      <c r="B89" s="1">
        <v>4229118</v>
      </c>
      <c r="C89" s="35" t="s">
        <v>5834</v>
      </c>
      <c r="D89" s="29" t="s">
        <v>5740</v>
      </c>
      <c r="E89" s="1" t="s">
        <v>5741</v>
      </c>
      <c r="F89" s="1" t="s">
        <v>5742</v>
      </c>
      <c r="G89" s="5" t="s">
        <v>5565</v>
      </c>
      <c r="H89" s="5" t="s">
        <v>5714</v>
      </c>
      <c r="I89" s="5" t="s">
        <v>5666</v>
      </c>
      <c r="J89" s="2">
        <v>34277</v>
      </c>
      <c r="K89" s="1" t="s">
        <v>19</v>
      </c>
      <c r="L89" s="1" t="s">
        <v>20</v>
      </c>
      <c r="Q89" s="9" t="s">
        <v>5743</v>
      </c>
      <c r="R89" s="1">
        <v>2012</v>
      </c>
      <c r="S89" s="1" t="s">
        <v>5232</v>
      </c>
    </row>
    <row r="90" spans="1:20" ht="15" customHeight="1" x14ac:dyDescent="0.25">
      <c r="A90" s="5" t="s">
        <v>45</v>
      </c>
      <c r="B90" s="1">
        <v>4302958</v>
      </c>
      <c r="C90" s="35" t="s">
        <v>5835</v>
      </c>
      <c r="D90" s="29" t="s">
        <v>583</v>
      </c>
      <c r="E90" s="1" t="s">
        <v>904</v>
      </c>
      <c r="F90" s="1" t="s">
        <v>384</v>
      </c>
      <c r="G90" s="5" t="s">
        <v>5565</v>
      </c>
      <c r="H90" s="5" t="s">
        <v>5714</v>
      </c>
      <c r="I90" s="5" t="s">
        <v>5666</v>
      </c>
      <c r="J90" s="2">
        <v>34649</v>
      </c>
      <c r="K90" s="1" t="s">
        <v>19</v>
      </c>
      <c r="L90" s="1" t="s">
        <v>20</v>
      </c>
      <c r="M90" s="1" t="s">
        <v>905</v>
      </c>
      <c r="N90" s="1" t="s">
        <v>906</v>
      </c>
      <c r="O90" s="1" t="s">
        <v>23</v>
      </c>
      <c r="P90" s="1" t="s">
        <v>907</v>
      </c>
      <c r="Q90" s="1">
        <f>31-610481981</f>
        <v>-610481950</v>
      </c>
      <c r="R90" s="1">
        <v>2013</v>
      </c>
    </row>
    <row r="91" spans="1:20" ht="15" customHeight="1" x14ac:dyDescent="0.25">
      <c r="A91" s="5" t="s">
        <v>45</v>
      </c>
      <c r="B91" s="1">
        <v>4280318</v>
      </c>
      <c r="C91" s="35" t="s">
        <v>5836</v>
      </c>
      <c r="D91" s="29" t="s">
        <v>921</v>
      </c>
      <c r="E91" s="1" t="s">
        <v>922</v>
      </c>
      <c r="F91" s="1" t="s">
        <v>242</v>
      </c>
      <c r="G91" s="5" t="s">
        <v>5565</v>
      </c>
      <c r="H91" s="5" t="s">
        <v>5714</v>
      </c>
      <c r="I91" s="5" t="s">
        <v>5666</v>
      </c>
      <c r="J91" s="2">
        <v>34786</v>
      </c>
      <c r="K91" s="1" t="s">
        <v>19</v>
      </c>
      <c r="L91" s="1" t="s">
        <v>20</v>
      </c>
      <c r="M91" s="1" t="s">
        <v>923</v>
      </c>
      <c r="N91" s="1" t="s">
        <v>924</v>
      </c>
      <c r="O91" s="1" t="s">
        <v>23</v>
      </c>
      <c r="P91" s="1" t="s">
        <v>925</v>
      </c>
      <c r="Q91" s="1">
        <f>31-644599943</f>
        <v>-644599912</v>
      </c>
      <c r="R91" s="1">
        <v>2013</v>
      </c>
    </row>
    <row r="92" spans="1:20" ht="15" customHeight="1" x14ac:dyDescent="0.25">
      <c r="A92" s="5" t="s">
        <v>45</v>
      </c>
      <c r="B92" s="1">
        <v>4222040</v>
      </c>
      <c r="C92" s="1" t="s">
        <v>6520</v>
      </c>
      <c r="D92" s="35" t="s">
        <v>4611</v>
      </c>
      <c r="E92" s="1" t="s">
        <v>4612</v>
      </c>
      <c r="F92" s="1" t="s">
        <v>2518</v>
      </c>
      <c r="G92" s="5" t="s">
        <v>5565</v>
      </c>
      <c r="H92" s="5" t="s">
        <v>5714</v>
      </c>
      <c r="I92" s="5" t="s">
        <v>5666</v>
      </c>
      <c r="J92" s="2">
        <v>33567</v>
      </c>
      <c r="L92" s="1" t="s">
        <v>20</v>
      </c>
      <c r="R92" s="1">
        <v>2012</v>
      </c>
      <c r="S92" s="1" t="s">
        <v>88</v>
      </c>
    </row>
    <row r="93" spans="1:20" ht="15" customHeight="1" x14ac:dyDescent="0.25">
      <c r="A93" s="5" t="s">
        <v>45</v>
      </c>
      <c r="B93" s="1">
        <v>4294653</v>
      </c>
      <c r="C93" s="35" t="s">
        <v>5837</v>
      </c>
      <c r="D93" s="29" t="s">
        <v>941</v>
      </c>
      <c r="E93" s="1" t="s">
        <v>942</v>
      </c>
      <c r="F93" s="1" t="s">
        <v>943</v>
      </c>
      <c r="G93" s="5" t="s">
        <v>5565</v>
      </c>
      <c r="H93" s="5" t="s">
        <v>5714</v>
      </c>
      <c r="I93" s="5" t="s">
        <v>5666</v>
      </c>
      <c r="J93" s="2">
        <v>34513</v>
      </c>
      <c r="K93" s="1" t="s">
        <v>19</v>
      </c>
      <c r="L93" s="1" t="s">
        <v>20</v>
      </c>
      <c r="M93" s="1" t="s">
        <v>944</v>
      </c>
      <c r="N93" s="1" t="s">
        <v>945</v>
      </c>
      <c r="O93" s="1" t="s">
        <v>23</v>
      </c>
      <c r="P93" s="1" t="s">
        <v>946</v>
      </c>
      <c r="Q93" s="1">
        <f>31-623315400</f>
        <v>-623315369</v>
      </c>
      <c r="R93" s="1">
        <v>2013</v>
      </c>
    </row>
    <row r="94" spans="1:20" ht="15" customHeight="1" x14ac:dyDescent="0.25">
      <c r="A94" s="5" t="s">
        <v>45</v>
      </c>
      <c r="B94" s="1">
        <v>4210115</v>
      </c>
      <c r="C94" s="35" t="s">
        <v>5838</v>
      </c>
      <c r="D94" s="29" t="s">
        <v>5206</v>
      </c>
      <c r="E94" s="1" t="s">
        <v>5207</v>
      </c>
      <c r="F94" s="1" t="s">
        <v>5208</v>
      </c>
      <c r="G94" s="5" t="s">
        <v>5566</v>
      </c>
      <c r="H94" s="5" t="s">
        <v>5714</v>
      </c>
      <c r="I94" s="5" t="s">
        <v>5666</v>
      </c>
      <c r="J94" s="2">
        <v>34310</v>
      </c>
      <c r="K94" s="1" t="s">
        <v>19</v>
      </c>
      <c r="L94" s="1" t="s">
        <v>20</v>
      </c>
      <c r="R94" s="1">
        <v>2013</v>
      </c>
      <c r="T94" s="1" t="s">
        <v>5217</v>
      </c>
    </row>
    <row r="95" spans="1:20" ht="15" customHeight="1" x14ac:dyDescent="0.25">
      <c r="A95" s="5" t="s">
        <v>45</v>
      </c>
      <c r="B95" s="1">
        <v>4299922</v>
      </c>
      <c r="C95" s="35" t="s">
        <v>5839</v>
      </c>
      <c r="D95" s="29" t="s">
        <v>996</v>
      </c>
      <c r="E95" s="1" t="s">
        <v>997</v>
      </c>
      <c r="F95" s="1" t="s">
        <v>998</v>
      </c>
      <c r="G95" s="5" t="s">
        <v>5566</v>
      </c>
      <c r="H95" s="5" t="s">
        <v>5714</v>
      </c>
      <c r="I95" s="5" t="s">
        <v>5666</v>
      </c>
      <c r="J95" s="2">
        <v>34289</v>
      </c>
      <c r="K95" s="1" t="s">
        <v>19</v>
      </c>
      <c r="L95" s="1" t="s">
        <v>20</v>
      </c>
      <c r="M95" s="1" t="s">
        <v>999</v>
      </c>
      <c r="N95" s="1" t="s">
        <v>1000</v>
      </c>
      <c r="O95" s="1" t="s">
        <v>23</v>
      </c>
      <c r="P95" s="1" t="s">
        <v>1001</v>
      </c>
      <c r="Q95" s="1">
        <f>31-631768616</f>
        <v>-631768585</v>
      </c>
      <c r="R95" s="1">
        <v>2013</v>
      </c>
    </row>
    <row r="96" spans="1:20" ht="15" customHeight="1" x14ac:dyDescent="0.25">
      <c r="A96" s="5" t="s">
        <v>45</v>
      </c>
      <c r="B96" s="1">
        <v>4297490</v>
      </c>
      <c r="C96" s="35" t="s">
        <v>5840</v>
      </c>
      <c r="D96" s="29" t="s">
        <v>1002</v>
      </c>
      <c r="E96" s="1" t="s">
        <v>1003</v>
      </c>
      <c r="F96" s="1" t="s">
        <v>265</v>
      </c>
      <c r="G96" s="5" t="s">
        <v>5566</v>
      </c>
      <c r="H96" s="5" t="s">
        <v>5714</v>
      </c>
      <c r="I96" s="5" t="s">
        <v>5666</v>
      </c>
      <c r="J96" s="2">
        <v>34811</v>
      </c>
      <c r="K96" s="1" t="s">
        <v>19</v>
      </c>
      <c r="L96" s="1" t="s">
        <v>20</v>
      </c>
      <c r="M96" s="1" t="s">
        <v>1004</v>
      </c>
      <c r="N96" s="1" t="s">
        <v>1005</v>
      </c>
      <c r="O96" s="1" t="s">
        <v>23</v>
      </c>
      <c r="P96" s="1" t="s">
        <v>1006</v>
      </c>
      <c r="Q96" s="1">
        <f>31-611647882</f>
        <v>-611647851</v>
      </c>
      <c r="R96" s="1">
        <v>2013</v>
      </c>
    </row>
    <row r="97" spans="1:19" ht="15" customHeight="1" x14ac:dyDescent="0.25">
      <c r="A97" s="5" t="s">
        <v>45</v>
      </c>
      <c r="B97" s="1">
        <v>4272986</v>
      </c>
      <c r="C97" s="35" t="s">
        <v>5841</v>
      </c>
      <c r="D97" s="29" t="s">
        <v>1007</v>
      </c>
      <c r="E97" s="1" t="s">
        <v>1008</v>
      </c>
      <c r="F97" s="1" t="s">
        <v>271</v>
      </c>
      <c r="G97" s="5" t="s">
        <v>5566</v>
      </c>
      <c r="H97" s="5" t="s">
        <v>5714</v>
      </c>
      <c r="I97" s="5" t="s">
        <v>5666</v>
      </c>
      <c r="J97" s="2">
        <v>34923</v>
      </c>
      <c r="K97" s="1" t="s">
        <v>19</v>
      </c>
      <c r="L97" s="1" t="s">
        <v>20</v>
      </c>
      <c r="M97" s="1" t="s">
        <v>1009</v>
      </c>
      <c r="N97" s="1" t="s">
        <v>1010</v>
      </c>
      <c r="O97" s="1" t="s">
        <v>23</v>
      </c>
      <c r="P97" s="1" t="s">
        <v>1011</v>
      </c>
      <c r="Q97" s="1">
        <f>31-634111994</f>
        <v>-634111963</v>
      </c>
      <c r="R97" s="1">
        <v>2013</v>
      </c>
    </row>
    <row r="98" spans="1:19" ht="15" customHeight="1" x14ac:dyDescent="0.25">
      <c r="A98" s="5" t="s">
        <v>45</v>
      </c>
      <c r="B98" s="1">
        <v>4319346</v>
      </c>
      <c r="C98" s="35" t="s">
        <v>5842</v>
      </c>
      <c r="D98" s="29" t="s">
        <v>1012</v>
      </c>
      <c r="E98" s="1" t="s">
        <v>1013</v>
      </c>
      <c r="F98" s="1" t="s">
        <v>1014</v>
      </c>
      <c r="G98" s="5" t="s">
        <v>5566</v>
      </c>
      <c r="H98" s="5" t="s">
        <v>5714</v>
      </c>
      <c r="I98" s="5" t="s">
        <v>5666</v>
      </c>
      <c r="J98" s="2">
        <v>34789</v>
      </c>
      <c r="K98" s="1" t="s">
        <v>19</v>
      </c>
      <c r="L98" s="1" t="s">
        <v>20</v>
      </c>
      <c r="M98" s="1" t="s">
        <v>1015</v>
      </c>
      <c r="N98" s="1" t="s">
        <v>1016</v>
      </c>
      <c r="O98" s="1" t="s">
        <v>23</v>
      </c>
      <c r="P98" s="1" t="s">
        <v>1017</v>
      </c>
      <c r="Q98" s="1">
        <f>31-646288122</f>
        <v>-646288091</v>
      </c>
      <c r="R98" s="1">
        <v>2013</v>
      </c>
    </row>
    <row r="99" spans="1:19" ht="15" customHeight="1" x14ac:dyDescent="0.25">
      <c r="A99" s="5" t="s">
        <v>45</v>
      </c>
      <c r="B99" s="1">
        <v>4231570</v>
      </c>
      <c r="C99" s="35" t="s">
        <v>5843</v>
      </c>
      <c r="D99" s="29" t="s">
        <v>1023</v>
      </c>
      <c r="E99" s="1" t="s">
        <v>1024</v>
      </c>
      <c r="F99" s="1" t="s">
        <v>1025</v>
      </c>
      <c r="G99" s="5" t="s">
        <v>5566</v>
      </c>
      <c r="H99" s="5" t="s">
        <v>5714</v>
      </c>
      <c r="I99" s="5" t="s">
        <v>5666</v>
      </c>
      <c r="J99" s="2">
        <v>34312</v>
      </c>
      <c r="K99" s="1" t="s">
        <v>19</v>
      </c>
      <c r="L99" s="1" t="s">
        <v>111</v>
      </c>
      <c r="M99" s="1" t="s">
        <v>1026</v>
      </c>
      <c r="N99" s="1" t="s">
        <v>1027</v>
      </c>
      <c r="O99" s="1" t="s">
        <v>23</v>
      </c>
      <c r="P99" s="1" t="s">
        <v>1028</v>
      </c>
      <c r="Q99" s="1">
        <f>31-612790215</f>
        <v>-612790184</v>
      </c>
      <c r="R99" s="1">
        <v>2012</v>
      </c>
      <c r="S99" s="1" t="s">
        <v>5222</v>
      </c>
    </row>
    <row r="100" spans="1:19" ht="15" customHeight="1" x14ac:dyDescent="0.25">
      <c r="A100" s="5" t="s">
        <v>45</v>
      </c>
      <c r="B100" s="1">
        <v>4295730</v>
      </c>
      <c r="C100" s="35" t="s">
        <v>5844</v>
      </c>
      <c r="D100" s="29" t="s">
        <v>1029</v>
      </c>
      <c r="E100" s="1" t="s">
        <v>1030</v>
      </c>
      <c r="F100" s="1" t="s">
        <v>1031</v>
      </c>
      <c r="G100" s="5" t="s">
        <v>5566</v>
      </c>
      <c r="H100" s="5" t="s">
        <v>5714</v>
      </c>
      <c r="I100" s="5" t="s">
        <v>5666</v>
      </c>
      <c r="J100" s="2">
        <v>34646</v>
      </c>
      <c r="K100" s="1" t="s">
        <v>19</v>
      </c>
      <c r="L100" s="1" t="s">
        <v>111</v>
      </c>
      <c r="M100" s="1" t="s">
        <v>1032</v>
      </c>
      <c r="N100" s="1" t="s">
        <v>1033</v>
      </c>
      <c r="O100" s="1" t="s">
        <v>23</v>
      </c>
      <c r="P100" s="1" t="s">
        <v>1034</v>
      </c>
      <c r="Q100" s="1">
        <f>31-610535098</f>
        <v>-610535067</v>
      </c>
      <c r="R100" s="1">
        <v>2013</v>
      </c>
    </row>
    <row r="101" spans="1:19" ht="15" customHeight="1" x14ac:dyDescent="0.25">
      <c r="A101" s="5" t="s">
        <v>45</v>
      </c>
      <c r="B101" s="1">
        <v>4313771</v>
      </c>
      <c r="C101" s="35" t="s">
        <v>5845</v>
      </c>
      <c r="D101" s="29" t="s">
        <v>1051</v>
      </c>
      <c r="E101" s="1" t="s">
        <v>1052</v>
      </c>
      <c r="F101" s="1" t="s">
        <v>928</v>
      </c>
      <c r="G101" s="5" t="s">
        <v>5567</v>
      </c>
      <c r="H101" s="5" t="s">
        <v>5714</v>
      </c>
      <c r="I101" s="5" t="s">
        <v>5667</v>
      </c>
      <c r="J101" s="2">
        <v>34473</v>
      </c>
      <c r="K101" s="1" t="s">
        <v>19</v>
      </c>
      <c r="L101" s="1" t="s">
        <v>20</v>
      </c>
      <c r="M101" s="1" t="s">
        <v>1053</v>
      </c>
      <c r="N101" s="1" t="s">
        <v>1054</v>
      </c>
      <c r="O101" s="1" t="s">
        <v>23</v>
      </c>
      <c r="P101" s="1" t="s">
        <v>1055</v>
      </c>
      <c r="R101" s="1">
        <v>2013</v>
      </c>
    </row>
    <row r="102" spans="1:19" ht="15" customHeight="1" x14ac:dyDescent="0.25">
      <c r="A102" s="5" t="s">
        <v>45</v>
      </c>
      <c r="B102" s="1">
        <v>4286715</v>
      </c>
      <c r="C102" s="35" t="s">
        <v>5846</v>
      </c>
      <c r="D102" s="29" t="s">
        <v>1056</v>
      </c>
      <c r="E102" s="1" t="s">
        <v>1057</v>
      </c>
      <c r="F102" s="1" t="s">
        <v>678</v>
      </c>
      <c r="G102" s="5" t="s">
        <v>5567</v>
      </c>
      <c r="H102" s="5" t="s">
        <v>5714</v>
      </c>
      <c r="I102" s="5" t="s">
        <v>5667</v>
      </c>
      <c r="J102" s="2">
        <v>34535</v>
      </c>
      <c r="K102" s="1" t="s">
        <v>19</v>
      </c>
      <c r="L102" s="1" t="s">
        <v>20</v>
      </c>
      <c r="M102" s="1" t="s">
        <v>1058</v>
      </c>
      <c r="N102" s="1" t="s">
        <v>1059</v>
      </c>
      <c r="O102" s="1" t="s">
        <v>23</v>
      </c>
      <c r="P102" s="1" t="s">
        <v>1060</v>
      </c>
      <c r="Q102" s="1">
        <f>31-630705220</f>
        <v>-630705189</v>
      </c>
      <c r="R102" s="1">
        <v>2013</v>
      </c>
    </row>
    <row r="103" spans="1:19" ht="15" customHeight="1" x14ac:dyDescent="0.25">
      <c r="A103" s="5" t="s">
        <v>45</v>
      </c>
      <c r="B103" s="1">
        <v>4268725</v>
      </c>
      <c r="C103" s="35" t="s">
        <v>5847</v>
      </c>
      <c r="D103" s="29" t="s">
        <v>1061</v>
      </c>
      <c r="E103" s="1" t="s">
        <v>1062</v>
      </c>
      <c r="F103" s="1" t="s">
        <v>1063</v>
      </c>
      <c r="G103" s="5" t="s">
        <v>5567</v>
      </c>
      <c r="H103" s="5" t="s">
        <v>5714</v>
      </c>
      <c r="I103" s="5" t="s">
        <v>5667</v>
      </c>
      <c r="J103" s="2">
        <v>34761</v>
      </c>
      <c r="K103" s="1" t="s">
        <v>19</v>
      </c>
      <c r="L103" s="1" t="s">
        <v>20</v>
      </c>
      <c r="M103" s="1" t="s">
        <v>1064</v>
      </c>
      <c r="N103" s="1" t="s">
        <v>1065</v>
      </c>
      <c r="O103" s="1" t="s">
        <v>23</v>
      </c>
      <c r="P103" s="1" t="s">
        <v>1066</v>
      </c>
      <c r="Q103" s="1">
        <f>31-657211035</f>
        <v>-657211004</v>
      </c>
      <c r="R103" s="1">
        <v>2013</v>
      </c>
    </row>
    <row r="104" spans="1:19" ht="15" customHeight="1" x14ac:dyDescent="0.25">
      <c r="A104" s="5" t="s">
        <v>45</v>
      </c>
      <c r="B104" s="1">
        <v>4301099</v>
      </c>
      <c r="C104" s="35" t="s">
        <v>5849</v>
      </c>
      <c r="D104" s="29" t="s">
        <v>358</v>
      </c>
      <c r="E104" s="1" t="s">
        <v>1078</v>
      </c>
      <c r="F104" s="1" t="s">
        <v>1079</v>
      </c>
      <c r="G104" s="5" t="s">
        <v>5567</v>
      </c>
      <c r="H104" s="5" t="s">
        <v>5714</v>
      </c>
      <c r="I104" s="5" t="s">
        <v>5667</v>
      </c>
      <c r="J104" s="2">
        <v>34967</v>
      </c>
      <c r="K104" s="1" t="s">
        <v>19</v>
      </c>
      <c r="L104" s="1" t="s">
        <v>20</v>
      </c>
      <c r="M104" s="1" t="s">
        <v>1080</v>
      </c>
      <c r="N104" s="1" t="s">
        <v>1081</v>
      </c>
      <c r="O104" s="1" t="s">
        <v>23</v>
      </c>
      <c r="P104" s="1" t="s">
        <v>1082</v>
      </c>
      <c r="Q104" s="1">
        <f>31-650461619</f>
        <v>-650461588</v>
      </c>
      <c r="R104" s="1">
        <v>2013</v>
      </c>
    </row>
    <row r="105" spans="1:19" ht="15" customHeight="1" x14ac:dyDescent="0.25">
      <c r="A105" s="5" t="s">
        <v>45</v>
      </c>
      <c r="B105" s="1">
        <v>4246411</v>
      </c>
      <c r="C105" s="35" t="s">
        <v>5850</v>
      </c>
      <c r="D105" s="29" t="s">
        <v>1083</v>
      </c>
      <c r="E105" s="1" t="s">
        <v>1084</v>
      </c>
      <c r="F105" s="1" t="s">
        <v>765</v>
      </c>
      <c r="G105" s="5" t="s">
        <v>5567</v>
      </c>
      <c r="H105" s="5" t="s">
        <v>5714</v>
      </c>
      <c r="I105" s="5" t="s">
        <v>5667</v>
      </c>
      <c r="J105" s="2">
        <v>33814</v>
      </c>
      <c r="K105" s="1" t="s">
        <v>19</v>
      </c>
      <c r="L105" s="1" t="s">
        <v>20</v>
      </c>
      <c r="M105" s="1" t="s">
        <v>1085</v>
      </c>
      <c r="N105" s="1" t="s">
        <v>1086</v>
      </c>
      <c r="O105" s="1" t="s">
        <v>23</v>
      </c>
      <c r="P105" s="1" t="s">
        <v>1087</v>
      </c>
      <c r="Q105" s="1">
        <f>31-646102786</f>
        <v>-646102755</v>
      </c>
      <c r="R105" s="1">
        <v>2013</v>
      </c>
    </row>
    <row r="106" spans="1:19" ht="15" customHeight="1" x14ac:dyDescent="0.25">
      <c r="A106" s="5" t="s">
        <v>45</v>
      </c>
      <c r="B106" s="1">
        <v>4299884</v>
      </c>
      <c r="C106" s="35" t="s">
        <v>5851</v>
      </c>
      <c r="D106" s="29" t="s">
        <v>1088</v>
      </c>
      <c r="E106" s="1" t="s">
        <v>1089</v>
      </c>
      <c r="F106" s="1" t="s">
        <v>84</v>
      </c>
      <c r="G106" s="5" t="s">
        <v>5567</v>
      </c>
      <c r="H106" s="5" t="s">
        <v>5714</v>
      </c>
      <c r="I106" s="5" t="s">
        <v>5667</v>
      </c>
      <c r="J106" s="2">
        <v>34717</v>
      </c>
      <c r="K106" s="1" t="s">
        <v>19</v>
      </c>
      <c r="L106" s="1" t="s">
        <v>20</v>
      </c>
      <c r="M106" s="1" t="s">
        <v>1090</v>
      </c>
      <c r="N106" s="1" t="s">
        <v>1091</v>
      </c>
      <c r="O106" s="1" t="s">
        <v>23</v>
      </c>
      <c r="P106" s="1" t="s">
        <v>1092</v>
      </c>
      <c r="Q106" s="1">
        <f>31-620351154</f>
        <v>-620351123</v>
      </c>
      <c r="R106" s="1">
        <v>2013</v>
      </c>
    </row>
    <row r="107" spans="1:19" ht="15" customHeight="1" x14ac:dyDescent="0.25">
      <c r="A107" s="5" t="s">
        <v>45</v>
      </c>
      <c r="B107" s="1">
        <v>4290593</v>
      </c>
      <c r="C107" s="35" t="s">
        <v>5852</v>
      </c>
      <c r="D107" s="29" t="s">
        <v>1121</v>
      </c>
      <c r="E107" s="1" t="s">
        <v>1122</v>
      </c>
      <c r="F107" s="1" t="s">
        <v>1123</v>
      </c>
      <c r="G107" s="5" t="s">
        <v>5568</v>
      </c>
      <c r="H107" s="5" t="s">
        <v>5714</v>
      </c>
      <c r="I107" s="5" t="s">
        <v>5667</v>
      </c>
      <c r="J107" s="2">
        <v>34703</v>
      </c>
      <c r="K107" s="1" t="s">
        <v>19</v>
      </c>
      <c r="L107" s="1" t="s">
        <v>20</v>
      </c>
      <c r="M107" s="1" t="s">
        <v>1124</v>
      </c>
      <c r="N107" s="1" t="s">
        <v>1125</v>
      </c>
      <c r="O107" s="1" t="s">
        <v>23</v>
      </c>
      <c r="P107" s="1" t="s">
        <v>1126</v>
      </c>
      <c r="Q107" s="1">
        <f>31-634977967</f>
        <v>-634977936</v>
      </c>
      <c r="R107" s="1">
        <v>2013</v>
      </c>
    </row>
    <row r="108" spans="1:19" ht="15" customHeight="1" x14ac:dyDescent="0.25">
      <c r="A108" s="5" t="s">
        <v>45</v>
      </c>
      <c r="B108" s="1">
        <v>4227794</v>
      </c>
      <c r="C108" s="35" t="s">
        <v>5853</v>
      </c>
      <c r="D108" s="29" t="s">
        <v>1133</v>
      </c>
      <c r="E108" s="1" t="s">
        <v>1134</v>
      </c>
      <c r="F108" s="1" t="s">
        <v>425</v>
      </c>
      <c r="G108" s="5" t="s">
        <v>5568</v>
      </c>
      <c r="H108" s="5" t="s">
        <v>5714</v>
      </c>
      <c r="I108" s="5" t="s">
        <v>5667</v>
      </c>
      <c r="J108" s="2">
        <v>34526</v>
      </c>
      <c r="K108" s="1" t="s">
        <v>19</v>
      </c>
      <c r="L108" s="1" t="s">
        <v>20</v>
      </c>
      <c r="M108" s="1" t="s">
        <v>1135</v>
      </c>
      <c r="N108" s="1" t="s">
        <v>1136</v>
      </c>
      <c r="O108" s="1" t="s">
        <v>23</v>
      </c>
      <c r="P108" s="1" t="s">
        <v>1137</v>
      </c>
      <c r="Q108" s="1">
        <f>31-620254622</f>
        <v>-620254591</v>
      </c>
      <c r="R108" s="1">
        <v>2012</v>
      </c>
      <c r="S108" s="1" t="s">
        <v>5222</v>
      </c>
    </row>
    <row r="109" spans="1:19" ht="15" customHeight="1" x14ac:dyDescent="0.25">
      <c r="A109" s="5" t="s">
        <v>45</v>
      </c>
      <c r="B109" s="1">
        <v>4318056</v>
      </c>
      <c r="C109" s="35" t="s">
        <v>5854</v>
      </c>
      <c r="D109" s="29" t="s">
        <v>1150</v>
      </c>
      <c r="E109" s="1" t="s">
        <v>1151</v>
      </c>
      <c r="F109" s="1" t="s">
        <v>1152</v>
      </c>
      <c r="G109" s="5" t="s">
        <v>5568</v>
      </c>
      <c r="H109" s="5" t="s">
        <v>5714</v>
      </c>
      <c r="I109" s="5" t="s">
        <v>5667</v>
      </c>
      <c r="J109" s="2">
        <v>34774</v>
      </c>
      <c r="K109" s="1" t="s">
        <v>19</v>
      </c>
      <c r="L109" s="1" t="s">
        <v>20</v>
      </c>
      <c r="M109" s="1" t="s">
        <v>1153</v>
      </c>
      <c r="N109" s="1" t="s">
        <v>1154</v>
      </c>
      <c r="O109" s="1" t="s">
        <v>23</v>
      </c>
      <c r="P109" s="1" t="s">
        <v>1155</v>
      </c>
      <c r="Q109" s="1">
        <f>31-681255146</f>
        <v>-681255115</v>
      </c>
      <c r="R109" s="1">
        <v>2013</v>
      </c>
    </row>
    <row r="110" spans="1:19" ht="15" customHeight="1" x14ac:dyDescent="0.25">
      <c r="A110" s="5" t="s">
        <v>45</v>
      </c>
      <c r="B110" s="1">
        <v>4293592</v>
      </c>
      <c r="C110" s="35" t="s">
        <v>5855</v>
      </c>
      <c r="D110" s="29" t="s">
        <v>1199</v>
      </c>
      <c r="E110" s="1" t="s">
        <v>1200</v>
      </c>
      <c r="F110" s="1" t="s">
        <v>1201</v>
      </c>
      <c r="G110" s="5" t="s">
        <v>5568</v>
      </c>
      <c r="H110" s="5" t="s">
        <v>5714</v>
      </c>
      <c r="I110" s="5" t="s">
        <v>5667</v>
      </c>
      <c r="J110" s="2">
        <v>34739</v>
      </c>
      <c r="K110" s="1" t="s">
        <v>19</v>
      </c>
      <c r="L110" s="1" t="s">
        <v>111</v>
      </c>
      <c r="M110" s="1" t="s">
        <v>1202</v>
      </c>
      <c r="N110" s="1" t="s">
        <v>1203</v>
      </c>
      <c r="O110" s="1" t="s">
        <v>23</v>
      </c>
      <c r="P110" s="1" t="s">
        <v>1204</v>
      </c>
      <c r="Q110" s="1">
        <f>31-641639258</f>
        <v>-641639227</v>
      </c>
      <c r="R110" s="1">
        <v>2013</v>
      </c>
    </row>
    <row r="111" spans="1:19" ht="15" customHeight="1" x14ac:dyDescent="0.25">
      <c r="A111" s="5" t="s">
        <v>45</v>
      </c>
      <c r="B111" s="1">
        <v>4312961</v>
      </c>
      <c r="C111" s="35" t="s">
        <v>5857</v>
      </c>
      <c r="D111" s="29" t="s">
        <v>1172</v>
      </c>
      <c r="E111" s="1" t="s">
        <v>1173</v>
      </c>
      <c r="F111" s="1" t="s">
        <v>301</v>
      </c>
      <c r="G111" s="5" t="s">
        <v>5568</v>
      </c>
      <c r="H111" s="5" t="s">
        <v>5714</v>
      </c>
      <c r="I111" s="5" t="s">
        <v>5667</v>
      </c>
      <c r="J111" s="2">
        <v>34040</v>
      </c>
      <c r="K111" s="1" t="s">
        <v>19</v>
      </c>
      <c r="L111" s="1" t="s">
        <v>20</v>
      </c>
      <c r="M111" s="1" t="s">
        <v>1174</v>
      </c>
      <c r="N111" s="1" t="s">
        <v>1175</v>
      </c>
      <c r="O111" s="1" t="s">
        <v>23</v>
      </c>
      <c r="P111" s="1" t="s">
        <v>1176</v>
      </c>
      <c r="Q111" s="1">
        <f>31-657675773</f>
        <v>-657675742</v>
      </c>
      <c r="R111" s="1">
        <v>2013</v>
      </c>
    </row>
    <row r="112" spans="1:19" ht="15" customHeight="1" x14ac:dyDescent="0.25">
      <c r="A112" s="5" t="s">
        <v>45</v>
      </c>
      <c r="B112" s="1">
        <v>4321863</v>
      </c>
      <c r="C112" s="35" t="s">
        <v>5859</v>
      </c>
      <c r="D112" s="29" t="s">
        <v>1268</v>
      </c>
      <c r="E112" s="1" t="s">
        <v>1269</v>
      </c>
      <c r="F112" s="1" t="s">
        <v>1270</v>
      </c>
      <c r="G112" s="5" t="s">
        <v>5569</v>
      </c>
      <c r="H112" s="5" t="s">
        <v>5714</v>
      </c>
      <c r="I112" s="5" t="s">
        <v>5666</v>
      </c>
      <c r="J112" s="2">
        <v>34928</v>
      </c>
      <c r="K112" s="1" t="s">
        <v>19</v>
      </c>
      <c r="L112" s="1" t="s">
        <v>111</v>
      </c>
      <c r="M112" s="1" t="s">
        <v>1271</v>
      </c>
      <c r="N112" s="1" t="s">
        <v>1272</v>
      </c>
      <c r="O112" s="1" t="s">
        <v>140</v>
      </c>
      <c r="P112" s="1" t="s">
        <v>1273</v>
      </c>
      <c r="Q112" s="1">
        <f>32-477999297</f>
        <v>-477999265</v>
      </c>
      <c r="R112" s="1">
        <v>2013</v>
      </c>
    </row>
    <row r="113" spans="1:20" ht="15" customHeight="1" x14ac:dyDescent="0.25">
      <c r="A113" s="5" t="s">
        <v>45</v>
      </c>
      <c r="B113" s="1">
        <v>4308727</v>
      </c>
      <c r="C113" s="35" t="s">
        <v>5860</v>
      </c>
      <c r="D113" s="29" t="s">
        <v>1216</v>
      </c>
      <c r="E113" s="1" t="s">
        <v>1217</v>
      </c>
      <c r="F113" s="1" t="s">
        <v>1218</v>
      </c>
      <c r="G113" s="5" t="s">
        <v>5569</v>
      </c>
      <c r="H113" s="5" t="s">
        <v>5714</v>
      </c>
      <c r="I113" s="5" t="s">
        <v>5666</v>
      </c>
      <c r="J113" s="2">
        <v>34350</v>
      </c>
      <c r="K113" s="1" t="s">
        <v>19</v>
      </c>
      <c r="L113" s="1" t="s">
        <v>20</v>
      </c>
      <c r="M113" s="1" t="s">
        <v>1219</v>
      </c>
      <c r="N113" s="1" t="s">
        <v>1220</v>
      </c>
      <c r="O113" s="1" t="s">
        <v>23</v>
      </c>
      <c r="P113" s="1" t="s">
        <v>1221</v>
      </c>
      <c r="Q113" s="1">
        <f>31-627927327</f>
        <v>-627927296</v>
      </c>
      <c r="R113" s="1">
        <v>2013</v>
      </c>
    </row>
    <row r="114" spans="1:20" ht="15" customHeight="1" x14ac:dyDescent="0.25">
      <c r="A114" s="5" t="s">
        <v>45</v>
      </c>
      <c r="B114" s="1">
        <v>4285654</v>
      </c>
      <c r="C114" s="35" t="s">
        <v>5861</v>
      </c>
      <c r="D114" s="29" t="s">
        <v>1222</v>
      </c>
      <c r="E114" s="1" t="s">
        <v>1223</v>
      </c>
      <c r="F114" s="1" t="s">
        <v>1224</v>
      </c>
      <c r="G114" s="5" t="s">
        <v>5569</v>
      </c>
      <c r="H114" s="5" t="s">
        <v>5714</v>
      </c>
      <c r="I114" s="5" t="s">
        <v>5666</v>
      </c>
      <c r="J114" s="2">
        <v>34934</v>
      </c>
      <c r="K114" s="1" t="s">
        <v>19</v>
      </c>
      <c r="L114" s="1" t="s">
        <v>20</v>
      </c>
      <c r="M114" s="1" t="s">
        <v>1225</v>
      </c>
      <c r="N114" s="1" t="s">
        <v>1226</v>
      </c>
      <c r="O114" s="1" t="s">
        <v>23</v>
      </c>
      <c r="P114" s="1" t="s">
        <v>1227</v>
      </c>
      <c r="Q114" s="1">
        <f>31-612561961</f>
        <v>-612561930</v>
      </c>
      <c r="R114" s="1">
        <v>2013</v>
      </c>
    </row>
    <row r="115" spans="1:20" ht="15" customHeight="1" x14ac:dyDescent="0.25">
      <c r="A115" s="5" t="s">
        <v>45</v>
      </c>
      <c r="B115" s="1">
        <v>4281837</v>
      </c>
      <c r="C115" s="35" t="s">
        <v>5862</v>
      </c>
      <c r="D115" s="29" t="s">
        <v>854</v>
      </c>
      <c r="E115" s="1" t="s">
        <v>1274</v>
      </c>
      <c r="F115" s="1" t="s">
        <v>1275</v>
      </c>
      <c r="G115" s="5" t="s">
        <v>5569</v>
      </c>
      <c r="H115" s="5" t="s">
        <v>5714</v>
      </c>
      <c r="I115" s="5" t="s">
        <v>5666</v>
      </c>
      <c r="J115" s="2">
        <v>34823</v>
      </c>
      <c r="K115" s="1" t="s">
        <v>137</v>
      </c>
      <c r="L115" s="1" t="s">
        <v>111</v>
      </c>
      <c r="M115" s="1" t="s">
        <v>1276</v>
      </c>
      <c r="N115" s="1" t="s">
        <v>1277</v>
      </c>
      <c r="O115" s="1" t="s">
        <v>140</v>
      </c>
      <c r="P115" s="1" t="s">
        <v>1278</v>
      </c>
      <c r="R115" s="1">
        <v>2013</v>
      </c>
    </row>
    <row r="116" spans="1:20" ht="15" customHeight="1" x14ac:dyDescent="0.25">
      <c r="A116" s="5" t="s">
        <v>45</v>
      </c>
      <c r="B116" s="1">
        <v>4289021</v>
      </c>
      <c r="C116" s="35" t="s">
        <v>5863</v>
      </c>
      <c r="D116" s="29" t="s">
        <v>1234</v>
      </c>
      <c r="E116" s="1" t="s">
        <v>1235</v>
      </c>
      <c r="F116" s="1" t="s">
        <v>1236</v>
      </c>
      <c r="G116" s="5" t="s">
        <v>5569</v>
      </c>
      <c r="H116" s="5" t="s">
        <v>5714</v>
      </c>
      <c r="I116" s="5" t="s">
        <v>5666</v>
      </c>
      <c r="J116" s="2">
        <v>34687</v>
      </c>
      <c r="K116" s="1" t="s">
        <v>19</v>
      </c>
      <c r="L116" s="1" t="s">
        <v>20</v>
      </c>
      <c r="M116" s="1" t="s">
        <v>1237</v>
      </c>
      <c r="N116" s="1" t="s">
        <v>1238</v>
      </c>
      <c r="O116" s="1" t="s">
        <v>23</v>
      </c>
      <c r="P116" s="1" t="s">
        <v>1239</v>
      </c>
      <c r="Q116" s="1">
        <f>31-682070033</f>
        <v>-682070002</v>
      </c>
      <c r="R116" s="1">
        <v>2013</v>
      </c>
    </row>
    <row r="117" spans="1:20" ht="15" customHeight="1" x14ac:dyDescent="0.25">
      <c r="A117" s="5" t="s">
        <v>45</v>
      </c>
      <c r="B117" s="1">
        <v>4282132</v>
      </c>
      <c r="C117" s="35" t="s">
        <v>5864</v>
      </c>
      <c r="D117" s="29" t="s">
        <v>1240</v>
      </c>
      <c r="E117" s="1" t="s">
        <v>1241</v>
      </c>
      <c r="F117" s="1" t="s">
        <v>1242</v>
      </c>
      <c r="G117" s="5" t="s">
        <v>5569</v>
      </c>
      <c r="H117" s="5" t="s">
        <v>5714</v>
      </c>
      <c r="I117" s="5" t="s">
        <v>5666</v>
      </c>
      <c r="J117" s="2">
        <v>34346</v>
      </c>
      <c r="K117" s="1" t="s">
        <v>19</v>
      </c>
      <c r="L117" s="1" t="s">
        <v>20</v>
      </c>
      <c r="M117" s="1" t="s">
        <v>1243</v>
      </c>
      <c r="N117" s="1" t="s">
        <v>1244</v>
      </c>
      <c r="O117" s="1" t="s">
        <v>23</v>
      </c>
      <c r="P117" s="1" t="s">
        <v>1245</v>
      </c>
      <c r="Q117" s="1">
        <f>31-639364300</f>
        <v>-639364269</v>
      </c>
      <c r="R117" s="1">
        <v>2013</v>
      </c>
    </row>
    <row r="118" spans="1:20" ht="15" customHeight="1" x14ac:dyDescent="0.25">
      <c r="A118" s="5" t="s">
        <v>45</v>
      </c>
      <c r="B118" s="1">
        <v>4316800</v>
      </c>
      <c r="C118" s="35" t="s">
        <v>5865</v>
      </c>
      <c r="D118" s="29" t="s">
        <v>1246</v>
      </c>
      <c r="E118" s="1" t="s">
        <v>1247</v>
      </c>
      <c r="F118" s="1" t="s">
        <v>1248</v>
      </c>
      <c r="G118" s="5" t="s">
        <v>5569</v>
      </c>
      <c r="H118" s="5" t="s">
        <v>5714</v>
      </c>
      <c r="I118" s="5" t="s">
        <v>5666</v>
      </c>
      <c r="J118" s="2">
        <v>34756</v>
      </c>
      <c r="K118" s="1" t="s">
        <v>19</v>
      </c>
      <c r="L118" s="1" t="s">
        <v>20</v>
      </c>
      <c r="M118" s="1" t="s">
        <v>1249</v>
      </c>
      <c r="N118" s="1" t="s">
        <v>1250</v>
      </c>
      <c r="O118" s="1" t="s">
        <v>23</v>
      </c>
      <c r="P118" s="1" t="s">
        <v>1251</v>
      </c>
      <c r="Q118" s="1">
        <f>31-626737843</f>
        <v>-626737812</v>
      </c>
      <c r="R118" s="1">
        <v>2013</v>
      </c>
    </row>
    <row r="119" spans="1:20" ht="15" customHeight="1" x14ac:dyDescent="0.25">
      <c r="A119" s="5" t="s">
        <v>45</v>
      </c>
      <c r="B119" s="1">
        <v>4294939</v>
      </c>
      <c r="C119" s="35" t="s">
        <v>5866</v>
      </c>
      <c r="D119" s="29" t="s">
        <v>3862</v>
      </c>
      <c r="E119" s="1" t="s">
        <v>3863</v>
      </c>
      <c r="F119" s="1" t="s">
        <v>28</v>
      </c>
      <c r="G119" s="5" t="s">
        <v>5570</v>
      </c>
      <c r="H119" s="5" t="s">
        <v>5714</v>
      </c>
      <c r="I119" s="5" t="s">
        <v>5668</v>
      </c>
      <c r="J119" s="2">
        <v>34617</v>
      </c>
      <c r="K119" s="1" t="s">
        <v>19</v>
      </c>
      <c r="L119" s="1" t="s">
        <v>20</v>
      </c>
      <c r="M119" s="1" t="s">
        <v>3864</v>
      </c>
      <c r="N119" s="1" t="s">
        <v>3865</v>
      </c>
      <c r="O119" s="1" t="s">
        <v>23</v>
      </c>
      <c r="P119" s="1" t="s">
        <v>3866</v>
      </c>
      <c r="Q119" s="1">
        <f>31-612697750</f>
        <v>-612697719</v>
      </c>
      <c r="R119" s="1">
        <v>2013</v>
      </c>
    </row>
    <row r="120" spans="1:20" ht="15" customHeight="1" x14ac:dyDescent="0.25">
      <c r="A120" s="5" t="s">
        <v>45</v>
      </c>
      <c r="B120" s="1">
        <v>4295110</v>
      </c>
      <c r="C120" s="35" t="s">
        <v>5867</v>
      </c>
      <c r="D120" s="29" t="s">
        <v>3040</v>
      </c>
      <c r="E120" s="1" t="s">
        <v>3867</v>
      </c>
      <c r="F120" s="1" t="s">
        <v>684</v>
      </c>
      <c r="G120" s="5" t="s">
        <v>5570</v>
      </c>
      <c r="H120" s="5" t="s">
        <v>5714</v>
      </c>
      <c r="I120" s="5" t="s">
        <v>5668</v>
      </c>
      <c r="J120" s="2">
        <v>34929</v>
      </c>
      <c r="K120" s="1" t="s">
        <v>19</v>
      </c>
      <c r="L120" s="1" t="s">
        <v>20</v>
      </c>
      <c r="M120" s="1" t="s">
        <v>3868</v>
      </c>
      <c r="N120" s="1" t="s">
        <v>3869</v>
      </c>
      <c r="O120" s="1" t="s">
        <v>23</v>
      </c>
      <c r="P120" s="1" t="s">
        <v>3870</v>
      </c>
      <c r="Q120" s="1">
        <f>31-615860505</f>
        <v>-615860474</v>
      </c>
      <c r="R120" s="1">
        <v>2013</v>
      </c>
    </row>
    <row r="121" spans="1:20" ht="15" customHeight="1" x14ac:dyDescent="0.25">
      <c r="A121" s="5" t="s">
        <v>45</v>
      </c>
      <c r="B121" s="1">
        <v>4314840</v>
      </c>
      <c r="C121" s="35" t="s">
        <v>5868</v>
      </c>
      <c r="D121" s="29" t="s">
        <v>4048</v>
      </c>
      <c r="E121" s="1" t="s">
        <v>4049</v>
      </c>
      <c r="F121" s="1" t="s">
        <v>3440</v>
      </c>
      <c r="G121" s="5" t="s">
        <v>5570</v>
      </c>
      <c r="H121" s="5" t="s">
        <v>5714</v>
      </c>
      <c r="I121" s="5" t="s">
        <v>5668</v>
      </c>
      <c r="J121" s="2">
        <v>34915</v>
      </c>
      <c r="K121" s="1" t="s">
        <v>19</v>
      </c>
      <c r="L121" s="1" t="s">
        <v>20</v>
      </c>
      <c r="M121" s="1" t="s">
        <v>4050</v>
      </c>
      <c r="N121" s="1" t="s">
        <v>4051</v>
      </c>
      <c r="O121" s="1" t="s">
        <v>23</v>
      </c>
      <c r="P121" s="1" t="s">
        <v>4052</v>
      </c>
      <c r="Q121" s="1">
        <f>31-615309725</f>
        <v>-615309694</v>
      </c>
      <c r="R121" s="1">
        <v>2013</v>
      </c>
    </row>
    <row r="122" spans="1:20" ht="15" customHeight="1" x14ac:dyDescent="0.25">
      <c r="A122" s="5" t="s">
        <v>45</v>
      </c>
      <c r="B122" s="1">
        <v>4295633</v>
      </c>
      <c r="C122" s="35" t="s">
        <v>5870</v>
      </c>
      <c r="D122" s="29" t="s">
        <v>1372</v>
      </c>
      <c r="E122" s="1" t="s">
        <v>4281</v>
      </c>
      <c r="F122" s="1" t="s">
        <v>2925</v>
      </c>
      <c r="G122" s="5" t="s">
        <v>5570</v>
      </c>
      <c r="H122" s="5" t="s">
        <v>5714</v>
      </c>
      <c r="I122" s="5" t="s">
        <v>5668</v>
      </c>
      <c r="J122" s="2">
        <v>34474</v>
      </c>
      <c r="K122" s="1" t="s">
        <v>19</v>
      </c>
      <c r="L122" s="1" t="s">
        <v>20</v>
      </c>
      <c r="M122" s="1" t="s">
        <v>4282</v>
      </c>
      <c r="N122" s="1" t="s">
        <v>4283</v>
      </c>
      <c r="O122" s="1" t="s">
        <v>23</v>
      </c>
      <c r="P122" s="1" t="s">
        <v>4284</v>
      </c>
      <c r="Q122" s="1">
        <f>31-618402947</f>
        <v>-618402916</v>
      </c>
      <c r="R122" s="1">
        <v>2013</v>
      </c>
    </row>
    <row r="123" spans="1:20" ht="15" customHeight="1" x14ac:dyDescent="0.25">
      <c r="A123" s="5" t="s">
        <v>45</v>
      </c>
      <c r="B123" s="1">
        <v>4297016</v>
      </c>
      <c r="C123" s="35" t="s">
        <v>5871</v>
      </c>
      <c r="D123" s="29" t="s">
        <v>4372</v>
      </c>
      <c r="E123" s="1" t="s">
        <v>4373</v>
      </c>
      <c r="F123" s="1" t="s">
        <v>209</v>
      </c>
      <c r="G123" s="5" t="s">
        <v>5570</v>
      </c>
      <c r="H123" s="5" t="s">
        <v>5714</v>
      </c>
      <c r="I123" s="5" t="s">
        <v>5668</v>
      </c>
      <c r="J123" s="2">
        <v>34933</v>
      </c>
      <c r="K123" s="1" t="s">
        <v>19</v>
      </c>
      <c r="L123" s="1" t="s">
        <v>20</v>
      </c>
      <c r="M123" s="1" t="s">
        <v>4374</v>
      </c>
      <c r="N123" s="1" t="s">
        <v>4375</v>
      </c>
      <c r="O123" s="1" t="s">
        <v>23</v>
      </c>
      <c r="P123" s="1" t="s">
        <v>4376</v>
      </c>
      <c r="Q123" s="1">
        <f>31-681980088</f>
        <v>-681980057</v>
      </c>
      <c r="R123" s="1">
        <v>2013</v>
      </c>
    </row>
    <row r="124" spans="1:20" ht="15" customHeight="1" x14ac:dyDescent="0.25">
      <c r="A124" s="5" t="s">
        <v>45</v>
      </c>
      <c r="B124" s="1">
        <v>4331524</v>
      </c>
      <c r="C124" s="35" t="s">
        <v>5872</v>
      </c>
      <c r="D124" s="29" t="s">
        <v>4511</v>
      </c>
      <c r="E124" s="1" t="s">
        <v>4512</v>
      </c>
      <c r="F124" s="1" t="s">
        <v>4513</v>
      </c>
      <c r="G124" s="5" t="s">
        <v>5570</v>
      </c>
      <c r="H124" s="5" t="s">
        <v>5714</v>
      </c>
      <c r="I124" s="5" t="s">
        <v>5668</v>
      </c>
      <c r="J124" s="2">
        <v>34449</v>
      </c>
      <c r="K124" s="1" t="s">
        <v>19</v>
      </c>
      <c r="L124" s="1" t="s">
        <v>20</v>
      </c>
      <c r="M124" s="1" t="s">
        <v>4514</v>
      </c>
      <c r="N124" s="1" t="s">
        <v>4515</v>
      </c>
      <c r="O124" s="1" t="s">
        <v>23</v>
      </c>
      <c r="P124" s="1" t="s">
        <v>4516</v>
      </c>
      <c r="Q124" s="1">
        <f>31-681767914</f>
        <v>-681767883</v>
      </c>
      <c r="R124" s="1">
        <v>2013</v>
      </c>
    </row>
    <row r="125" spans="1:20" ht="15" customHeight="1" x14ac:dyDescent="0.25">
      <c r="A125" s="34" t="s">
        <v>15</v>
      </c>
      <c r="B125" s="1">
        <v>4009673</v>
      </c>
      <c r="C125" s="35" t="s">
        <v>6289</v>
      </c>
      <c r="D125" s="1" t="s">
        <v>5738</v>
      </c>
      <c r="E125" s="1" t="s">
        <v>5739</v>
      </c>
      <c r="F125" s="1" t="s">
        <v>271</v>
      </c>
      <c r="G125" s="34" t="s">
        <v>5737</v>
      </c>
      <c r="H125" s="34"/>
      <c r="I125" s="34"/>
      <c r="J125" s="2">
        <v>32812</v>
      </c>
      <c r="K125" s="1" t="s">
        <v>19</v>
      </c>
      <c r="L125" s="1" t="s">
        <v>20</v>
      </c>
      <c r="R125" s="1">
        <v>2009</v>
      </c>
      <c r="S125" s="1" t="s">
        <v>5236</v>
      </c>
      <c r="T125" s="1" t="s">
        <v>5735</v>
      </c>
    </row>
    <row r="126" spans="1:20" ht="15" customHeight="1" x14ac:dyDescent="0.25">
      <c r="A126" s="4" t="s">
        <v>15</v>
      </c>
      <c r="B126" s="1">
        <v>4216954</v>
      </c>
      <c r="C126" s="35" t="s">
        <v>6206</v>
      </c>
      <c r="D126" s="29" t="s">
        <v>2344</v>
      </c>
      <c r="E126" s="1" t="s">
        <v>2345</v>
      </c>
      <c r="F126" s="1" t="s">
        <v>2346</v>
      </c>
      <c r="G126" s="4" t="s">
        <v>5737</v>
      </c>
      <c r="H126" s="4"/>
      <c r="I126" s="4"/>
      <c r="J126" s="2">
        <v>34339</v>
      </c>
      <c r="K126" s="1" t="s">
        <v>19</v>
      </c>
      <c r="L126" s="1" t="s">
        <v>111</v>
      </c>
      <c r="M126" s="1" t="s">
        <v>2347</v>
      </c>
      <c r="N126" s="1" t="s">
        <v>2348</v>
      </c>
      <c r="O126" s="1" t="s">
        <v>23</v>
      </c>
      <c r="P126" s="1" t="s">
        <v>2349</v>
      </c>
      <c r="Q126" s="1">
        <f>31-646684996</f>
        <v>-646684965</v>
      </c>
      <c r="R126" s="1">
        <v>2012</v>
      </c>
      <c r="S126" s="1" t="s">
        <v>88</v>
      </c>
      <c r="T126" s="1" t="s">
        <v>6525</v>
      </c>
    </row>
    <row r="127" spans="1:20" ht="15" customHeight="1" x14ac:dyDescent="0.25">
      <c r="A127" s="4" t="s">
        <v>15</v>
      </c>
      <c r="B127" s="1">
        <v>4308573</v>
      </c>
      <c r="C127" s="35" t="s">
        <v>6207</v>
      </c>
      <c r="D127" s="29" t="s">
        <v>2333</v>
      </c>
      <c r="E127" s="1" t="s">
        <v>2334</v>
      </c>
      <c r="F127" s="1" t="s">
        <v>173</v>
      </c>
      <c r="G127" s="4" t="s">
        <v>5737</v>
      </c>
      <c r="H127" s="4"/>
      <c r="I127" s="4"/>
      <c r="J127" s="2">
        <v>34134</v>
      </c>
      <c r="K127" s="1" t="s">
        <v>19</v>
      </c>
      <c r="L127" s="1" t="s">
        <v>20</v>
      </c>
      <c r="M127" s="1" t="s">
        <v>2335</v>
      </c>
      <c r="N127" s="1" t="s">
        <v>2336</v>
      </c>
      <c r="O127" s="1" t="s">
        <v>23</v>
      </c>
      <c r="P127" s="1" t="s">
        <v>2337</v>
      </c>
      <c r="R127" s="1">
        <v>2013</v>
      </c>
      <c r="T127" s="1" t="s">
        <v>6525</v>
      </c>
    </row>
    <row r="128" spans="1:20" ht="15" customHeight="1" x14ac:dyDescent="0.25">
      <c r="A128" s="4" t="s">
        <v>15</v>
      </c>
      <c r="B128" s="1">
        <v>4332601</v>
      </c>
      <c r="C128" s="35" t="s">
        <v>6471</v>
      </c>
      <c r="D128" s="29" t="s">
        <v>3537</v>
      </c>
      <c r="E128" s="1" t="s">
        <v>3538</v>
      </c>
      <c r="F128" s="1" t="s">
        <v>928</v>
      </c>
      <c r="G128" s="4" t="s">
        <v>5737</v>
      </c>
      <c r="H128" s="4"/>
      <c r="I128" s="4"/>
      <c r="J128" s="2">
        <v>34684</v>
      </c>
      <c r="K128" s="1" t="s">
        <v>19</v>
      </c>
      <c r="L128" s="1" t="s">
        <v>20</v>
      </c>
      <c r="M128" s="1" t="s">
        <v>3539</v>
      </c>
      <c r="N128" s="1" t="s">
        <v>3540</v>
      </c>
      <c r="O128" s="1" t="s">
        <v>23</v>
      </c>
      <c r="P128" s="1" t="s">
        <v>3541</v>
      </c>
      <c r="Q128" s="1">
        <f>31-619742663</f>
        <v>-619742632</v>
      </c>
      <c r="R128" s="1">
        <v>2013</v>
      </c>
      <c r="T128" s="1" t="s">
        <v>6524</v>
      </c>
    </row>
    <row r="129" spans="1:20" ht="15" customHeight="1" x14ac:dyDescent="0.25">
      <c r="A129" s="4" t="s">
        <v>15</v>
      </c>
      <c r="B129" s="1">
        <v>4323262</v>
      </c>
      <c r="C129" s="35" t="s">
        <v>5874</v>
      </c>
      <c r="D129" s="29" t="s">
        <v>3093</v>
      </c>
      <c r="E129" s="1" t="s">
        <v>3094</v>
      </c>
      <c r="F129" s="1" t="s">
        <v>3095</v>
      </c>
      <c r="G129" s="4" t="s">
        <v>5737</v>
      </c>
      <c r="H129" s="4"/>
      <c r="I129" s="4"/>
      <c r="J129" s="2">
        <v>34413</v>
      </c>
      <c r="K129" s="1" t="s">
        <v>19</v>
      </c>
      <c r="L129" s="1" t="s">
        <v>20</v>
      </c>
      <c r="M129" s="1" t="s">
        <v>3096</v>
      </c>
      <c r="N129" s="1" t="s">
        <v>3097</v>
      </c>
      <c r="O129" s="1" t="s">
        <v>23</v>
      </c>
      <c r="P129" s="1" t="s">
        <v>3098</v>
      </c>
      <c r="Q129" s="1">
        <f>31-642395404</f>
        <v>-642395373</v>
      </c>
      <c r="R129" s="1">
        <v>2013</v>
      </c>
      <c r="T129" s="1" t="s">
        <v>5736</v>
      </c>
    </row>
    <row r="130" spans="1:20" ht="15" customHeight="1" x14ac:dyDescent="0.25">
      <c r="A130" s="4" t="s">
        <v>15</v>
      </c>
      <c r="B130" s="1">
        <v>4292790</v>
      </c>
      <c r="C130" s="35" t="s">
        <v>5921</v>
      </c>
      <c r="D130" s="29" t="s">
        <v>526</v>
      </c>
      <c r="E130" s="1" t="s">
        <v>527</v>
      </c>
      <c r="F130" s="1" t="s">
        <v>528</v>
      </c>
      <c r="G130" s="4" t="s">
        <v>5737</v>
      </c>
      <c r="H130" s="4"/>
      <c r="I130" s="4"/>
      <c r="J130" s="2">
        <v>34540</v>
      </c>
      <c r="K130" s="1" t="s">
        <v>19</v>
      </c>
      <c r="L130" s="1" t="s">
        <v>20</v>
      </c>
      <c r="M130" s="1" t="s">
        <v>529</v>
      </c>
      <c r="N130" s="1" t="s">
        <v>530</v>
      </c>
      <c r="O130" s="1" t="s">
        <v>23</v>
      </c>
      <c r="P130" s="1" t="s">
        <v>531</v>
      </c>
      <c r="Q130" s="1">
        <f>31-655699265</f>
        <v>-655699234</v>
      </c>
      <c r="R130" s="1">
        <v>2013</v>
      </c>
      <c r="T130" s="1" t="s">
        <v>6526</v>
      </c>
    </row>
    <row r="131" spans="1:20" ht="15" customHeight="1" x14ac:dyDescent="0.25">
      <c r="A131" s="4" t="s">
        <v>15</v>
      </c>
      <c r="B131" s="1">
        <v>4333160</v>
      </c>
      <c r="C131" s="35" t="s">
        <v>5875</v>
      </c>
      <c r="D131" s="29" t="s">
        <v>2711</v>
      </c>
      <c r="E131" s="1" t="s">
        <v>2712</v>
      </c>
      <c r="F131" s="1" t="s">
        <v>2713</v>
      </c>
      <c r="G131" s="4" t="s">
        <v>5737</v>
      </c>
      <c r="H131" s="4"/>
      <c r="I131" s="4"/>
      <c r="J131" s="2">
        <v>34454</v>
      </c>
      <c r="K131" s="1" t="s">
        <v>19</v>
      </c>
      <c r="L131" s="1" t="s">
        <v>20</v>
      </c>
      <c r="M131" s="1" t="s">
        <v>2714</v>
      </c>
      <c r="N131" s="1" t="s">
        <v>2715</v>
      </c>
      <c r="O131" s="1" t="s">
        <v>23</v>
      </c>
      <c r="P131" s="1" t="s">
        <v>2716</v>
      </c>
      <c r="Q131" s="1">
        <f>31-627068749</f>
        <v>-627068718</v>
      </c>
      <c r="R131" s="1">
        <v>2013</v>
      </c>
      <c r="T131" s="1" t="s">
        <v>5735</v>
      </c>
    </row>
    <row r="132" spans="1:20" ht="15" customHeight="1" x14ac:dyDescent="0.25">
      <c r="A132" s="4" t="s">
        <v>15</v>
      </c>
      <c r="B132" s="1">
        <v>4227069</v>
      </c>
      <c r="C132" s="35" t="s">
        <v>5876</v>
      </c>
      <c r="D132" s="29" t="s">
        <v>3115</v>
      </c>
      <c r="E132" s="1" t="s">
        <v>3116</v>
      </c>
      <c r="F132" s="1" t="s">
        <v>3117</v>
      </c>
      <c r="G132" s="4" t="s">
        <v>5737</v>
      </c>
      <c r="H132" s="4"/>
      <c r="I132" s="4"/>
      <c r="J132" s="2">
        <v>34390</v>
      </c>
      <c r="K132" s="1" t="s">
        <v>19</v>
      </c>
      <c r="L132" s="1" t="s">
        <v>111</v>
      </c>
      <c r="M132" s="1" t="s">
        <v>3118</v>
      </c>
      <c r="N132" s="1" t="s">
        <v>3119</v>
      </c>
      <c r="O132" s="1" t="s">
        <v>23</v>
      </c>
      <c r="P132" s="1" t="s">
        <v>3120</v>
      </c>
      <c r="Q132" s="1">
        <f>31-640560779</f>
        <v>-640560748</v>
      </c>
      <c r="R132" s="1">
        <v>2012</v>
      </c>
      <c r="S132" s="1" t="s">
        <v>88</v>
      </c>
      <c r="T132" s="1" t="s">
        <v>5736</v>
      </c>
    </row>
    <row r="133" spans="1:20" ht="15" customHeight="1" x14ac:dyDescent="0.25">
      <c r="A133" s="4" t="s">
        <v>15</v>
      </c>
      <c r="B133" s="1">
        <v>4214765</v>
      </c>
      <c r="C133" s="35" t="s">
        <v>6272</v>
      </c>
      <c r="D133" s="29" t="s">
        <v>2585</v>
      </c>
      <c r="E133" s="1" t="s">
        <v>2586</v>
      </c>
      <c r="F133" s="1" t="s">
        <v>2587</v>
      </c>
      <c r="G133" s="4" t="s">
        <v>5737</v>
      </c>
      <c r="H133" s="4"/>
      <c r="I133" s="4"/>
      <c r="J133" s="2">
        <v>34367</v>
      </c>
      <c r="K133" s="1" t="s">
        <v>19</v>
      </c>
      <c r="L133" s="1" t="s">
        <v>20</v>
      </c>
      <c r="M133" s="1" t="s">
        <v>2588</v>
      </c>
      <c r="N133" s="1" t="s">
        <v>2589</v>
      </c>
      <c r="O133" s="1" t="s">
        <v>23</v>
      </c>
      <c r="P133" s="1" t="s">
        <v>2590</v>
      </c>
      <c r="Q133" s="1">
        <f>31-649826267</f>
        <v>-649826236</v>
      </c>
      <c r="R133" s="1">
        <v>2013</v>
      </c>
      <c r="T133" s="1" t="s">
        <v>6527</v>
      </c>
    </row>
    <row r="134" spans="1:20" ht="15" customHeight="1" x14ac:dyDescent="0.25">
      <c r="A134" s="4" t="s">
        <v>15</v>
      </c>
      <c r="B134" s="1">
        <v>4290550</v>
      </c>
      <c r="C134" s="35" t="s">
        <v>5877</v>
      </c>
      <c r="D134" s="29" t="s">
        <v>16</v>
      </c>
      <c r="E134" s="1" t="s">
        <v>17</v>
      </c>
      <c r="F134" s="1" t="s">
        <v>18</v>
      </c>
      <c r="G134" s="4" t="s">
        <v>5571</v>
      </c>
      <c r="H134" s="4" t="s">
        <v>5715</v>
      </c>
      <c r="I134" s="4" t="s">
        <v>5669</v>
      </c>
      <c r="J134" s="2">
        <v>34323</v>
      </c>
      <c r="K134" s="1" t="s">
        <v>19</v>
      </c>
      <c r="L134" s="1" t="s">
        <v>20</v>
      </c>
      <c r="M134" s="1" t="s">
        <v>21</v>
      </c>
      <c r="N134" s="1" t="s">
        <v>22</v>
      </c>
      <c r="O134" s="1" t="s">
        <v>23</v>
      </c>
      <c r="P134" s="1" t="s">
        <v>24</v>
      </c>
      <c r="Q134" s="1" t="s">
        <v>25</v>
      </c>
      <c r="R134" s="1">
        <v>2013</v>
      </c>
    </row>
    <row r="135" spans="1:20" ht="15" customHeight="1" x14ac:dyDescent="0.25">
      <c r="A135" s="4" t="s">
        <v>15</v>
      </c>
      <c r="B135" s="1">
        <v>4144007</v>
      </c>
      <c r="C135" s="35" t="s">
        <v>5878</v>
      </c>
      <c r="D135" s="29" t="s">
        <v>26</v>
      </c>
      <c r="E135" s="1" t="s">
        <v>27</v>
      </c>
      <c r="F135" s="1" t="s">
        <v>28</v>
      </c>
      <c r="G135" s="4" t="s">
        <v>5571</v>
      </c>
      <c r="H135" s="4" t="s">
        <v>5715</v>
      </c>
      <c r="I135" s="4" t="s">
        <v>5669</v>
      </c>
      <c r="J135" s="2">
        <v>33659</v>
      </c>
      <c r="K135" s="1" t="s">
        <v>19</v>
      </c>
      <c r="L135" s="1" t="s">
        <v>20</v>
      </c>
      <c r="M135" s="1" t="s">
        <v>29</v>
      </c>
      <c r="N135" s="1" t="s">
        <v>30</v>
      </c>
      <c r="O135" s="1" t="s">
        <v>23</v>
      </c>
      <c r="P135" s="1" t="s">
        <v>31</v>
      </c>
      <c r="Q135" s="1">
        <f>31-611914155</f>
        <v>-611914124</v>
      </c>
      <c r="R135" s="1">
        <v>2013</v>
      </c>
    </row>
    <row r="136" spans="1:20" ht="15" customHeight="1" x14ac:dyDescent="0.25">
      <c r="A136" s="4" t="s">
        <v>15</v>
      </c>
      <c r="B136" s="1">
        <v>4322169</v>
      </c>
      <c r="C136" s="35" t="s">
        <v>5879</v>
      </c>
      <c r="D136" s="29" t="s">
        <v>32</v>
      </c>
      <c r="E136" s="1" t="s">
        <v>33</v>
      </c>
      <c r="F136" s="1" t="s">
        <v>34</v>
      </c>
      <c r="G136" s="4" t="s">
        <v>5571</v>
      </c>
      <c r="H136" s="4" t="s">
        <v>5715</v>
      </c>
      <c r="I136" s="4" t="s">
        <v>5669</v>
      </c>
      <c r="J136" s="2">
        <v>35048</v>
      </c>
      <c r="K136" s="1" t="s">
        <v>19</v>
      </c>
      <c r="L136" s="1" t="s">
        <v>20</v>
      </c>
      <c r="M136" s="1" t="s">
        <v>35</v>
      </c>
      <c r="N136" s="1" t="s">
        <v>36</v>
      </c>
      <c r="O136" s="1" t="s">
        <v>23</v>
      </c>
      <c r="P136" s="1" t="s">
        <v>37</v>
      </c>
      <c r="Q136" s="1">
        <f>31-614388856</f>
        <v>-614388825</v>
      </c>
      <c r="R136" s="1">
        <v>2013</v>
      </c>
    </row>
    <row r="137" spans="1:20" ht="15" customHeight="1" x14ac:dyDescent="0.25">
      <c r="A137" s="4" t="s">
        <v>15</v>
      </c>
      <c r="B137" s="1">
        <v>4234057</v>
      </c>
      <c r="C137" s="35" t="s">
        <v>5880</v>
      </c>
      <c r="D137" s="29" t="s">
        <v>38</v>
      </c>
      <c r="E137" s="1" t="s">
        <v>39</v>
      </c>
      <c r="F137" s="1" t="s">
        <v>40</v>
      </c>
      <c r="G137" s="4" t="s">
        <v>5571</v>
      </c>
      <c r="H137" s="4" t="s">
        <v>5715</v>
      </c>
      <c r="I137" s="4" t="s">
        <v>5669</v>
      </c>
      <c r="J137" s="2">
        <v>33886</v>
      </c>
      <c r="K137" s="1" t="s">
        <v>41</v>
      </c>
      <c r="L137" s="1" t="s">
        <v>20</v>
      </c>
      <c r="M137" s="1" t="s">
        <v>42</v>
      </c>
      <c r="N137" s="1" t="s">
        <v>43</v>
      </c>
      <c r="O137" s="1" t="s">
        <v>23</v>
      </c>
      <c r="P137" s="1" t="s">
        <v>44</v>
      </c>
      <c r="Q137" s="1">
        <f>31-618998760</f>
        <v>-618998729</v>
      </c>
      <c r="R137" s="1">
        <v>2012</v>
      </c>
      <c r="S137" s="1" t="s">
        <v>5227</v>
      </c>
    </row>
    <row r="138" spans="1:20" ht="15" customHeight="1" x14ac:dyDescent="0.25">
      <c r="A138" s="4" t="s">
        <v>15</v>
      </c>
      <c r="B138" s="1">
        <v>4334086</v>
      </c>
      <c r="C138" s="35" t="s">
        <v>5881</v>
      </c>
      <c r="D138" s="29" t="s">
        <v>52</v>
      </c>
      <c r="E138" s="1" t="s">
        <v>53</v>
      </c>
      <c r="F138" s="1" t="s">
        <v>54</v>
      </c>
      <c r="G138" s="4" t="s">
        <v>5571</v>
      </c>
      <c r="H138" s="4" t="s">
        <v>5715</v>
      </c>
      <c r="I138" s="4" t="s">
        <v>5669</v>
      </c>
      <c r="J138" s="2">
        <v>34692</v>
      </c>
      <c r="K138" s="1" t="s">
        <v>19</v>
      </c>
      <c r="L138" s="1" t="s">
        <v>20</v>
      </c>
      <c r="M138" s="1" t="s">
        <v>55</v>
      </c>
      <c r="N138" s="1" t="s">
        <v>56</v>
      </c>
      <c r="O138" s="1" t="s">
        <v>23</v>
      </c>
      <c r="P138" s="1" t="s">
        <v>57</v>
      </c>
      <c r="Q138" s="1">
        <f>31-633797977</f>
        <v>-633797946</v>
      </c>
      <c r="R138" s="1">
        <v>2013</v>
      </c>
    </row>
    <row r="139" spans="1:20" ht="15" customHeight="1" x14ac:dyDescent="0.25">
      <c r="A139" s="4" t="s">
        <v>15</v>
      </c>
      <c r="B139" s="1">
        <v>4167821</v>
      </c>
      <c r="C139" s="35" t="s">
        <v>5882</v>
      </c>
      <c r="D139" s="29" t="s">
        <v>5209</v>
      </c>
      <c r="E139" s="1" t="s">
        <v>58</v>
      </c>
      <c r="F139" s="1" t="s">
        <v>59</v>
      </c>
      <c r="G139" s="4" t="s">
        <v>5571</v>
      </c>
      <c r="H139" s="4" t="s">
        <v>5715</v>
      </c>
      <c r="I139" s="4" t="s">
        <v>5669</v>
      </c>
      <c r="J139" s="2">
        <v>33842</v>
      </c>
      <c r="K139" s="1" t="s">
        <v>19</v>
      </c>
      <c r="L139" s="1" t="s">
        <v>20</v>
      </c>
      <c r="Q139" s="1">
        <v>-681488912</v>
      </c>
      <c r="R139" s="1">
        <v>2013</v>
      </c>
    </row>
    <row r="140" spans="1:20" ht="15" customHeight="1" x14ac:dyDescent="0.25">
      <c r="A140" s="4" t="s">
        <v>15</v>
      </c>
      <c r="B140" s="1">
        <v>4309111</v>
      </c>
      <c r="C140" s="35" t="s">
        <v>5883</v>
      </c>
      <c r="D140" s="29" t="s">
        <v>66</v>
      </c>
      <c r="E140" s="1" t="s">
        <v>67</v>
      </c>
      <c r="F140" s="1" t="s">
        <v>68</v>
      </c>
      <c r="G140" s="4" t="s">
        <v>5571</v>
      </c>
      <c r="H140" s="4" t="s">
        <v>5715</v>
      </c>
      <c r="I140" s="4" t="s">
        <v>5669</v>
      </c>
      <c r="J140" s="2">
        <v>34901</v>
      </c>
      <c r="K140" s="1" t="s">
        <v>19</v>
      </c>
      <c r="L140" s="1" t="s">
        <v>20</v>
      </c>
      <c r="M140" s="1" t="s">
        <v>69</v>
      </c>
      <c r="N140" s="1" t="s">
        <v>70</v>
      </c>
      <c r="O140" s="1" t="s">
        <v>23</v>
      </c>
      <c r="P140" s="1" t="s">
        <v>71</v>
      </c>
      <c r="Q140" s="1">
        <f>31-648510438</f>
        <v>-648510407</v>
      </c>
      <c r="R140" s="1">
        <v>2013</v>
      </c>
    </row>
    <row r="141" spans="1:20" ht="15" customHeight="1" x14ac:dyDescent="0.25">
      <c r="A141" s="4" t="s">
        <v>15</v>
      </c>
      <c r="B141" s="1">
        <v>4323866</v>
      </c>
      <c r="C141" s="35" t="s">
        <v>5884</v>
      </c>
      <c r="D141" s="29" t="s">
        <v>72</v>
      </c>
      <c r="E141" s="1" t="s">
        <v>73</v>
      </c>
      <c r="F141" s="1" t="s">
        <v>34</v>
      </c>
      <c r="G141" s="4" t="s">
        <v>5571</v>
      </c>
      <c r="H141" s="4" t="s">
        <v>5715</v>
      </c>
      <c r="I141" s="4" t="s">
        <v>5669</v>
      </c>
      <c r="J141" s="2">
        <v>34897</v>
      </c>
      <c r="K141" s="1" t="s">
        <v>19</v>
      </c>
      <c r="L141" s="1" t="s">
        <v>20</v>
      </c>
      <c r="M141" s="1" t="s">
        <v>74</v>
      </c>
      <c r="N141" s="1" t="s">
        <v>75</v>
      </c>
      <c r="O141" s="1" t="s">
        <v>23</v>
      </c>
      <c r="P141" s="1" t="s">
        <v>76</v>
      </c>
      <c r="Q141" s="1">
        <f>31-648368300</f>
        <v>-648368269</v>
      </c>
      <c r="R141" s="1">
        <v>2013</v>
      </c>
    </row>
    <row r="142" spans="1:20" ht="15" customHeight="1" x14ac:dyDescent="0.25">
      <c r="A142" s="4" t="s">
        <v>15</v>
      </c>
      <c r="B142" s="1">
        <v>4221435</v>
      </c>
      <c r="C142" s="35" t="s">
        <v>5885</v>
      </c>
      <c r="D142" s="29" t="s">
        <v>122</v>
      </c>
      <c r="E142" s="1" t="s">
        <v>123</v>
      </c>
      <c r="F142" s="1" t="s">
        <v>124</v>
      </c>
      <c r="G142" s="4" t="s">
        <v>5572</v>
      </c>
      <c r="H142" s="4" t="s">
        <v>5715</v>
      </c>
      <c r="I142" s="4" t="s">
        <v>5669</v>
      </c>
      <c r="J142" s="2">
        <v>34592</v>
      </c>
      <c r="K142" s="1" t="s">
        <v>19</v>
      </c>
      <c r="L142" s="1" t="s">
        <v>20</v>
      </c>
      <c r="M142" s="1" t="s">
        <v>125</v>
      </c>
      <c r="N142" s="1" t="s">
        <v>126</v>
      </c>
      <c r="O142" s="1" t="s">
        <v>23</v>
      </c>
      <c r="P142" s="1" t="s">
        <v>127</v>
      </c>
      <c r="Q142" s="1">
        <f>31-681248203</f>
        <v>-681248172</v>
      </c>
      <c r="R142" s="1">
        <v>2013</v>
      </c>
    </row>
    <row r="143" spans="1:20" ht="15" customHeight="1" x14ac:dyDescent="0.25">
      <c r="A143" s="4" t="s">
        <v>15</v>
      </c>
      <c r="B143" s="1">
        <v>4306503</v>
      </c>
      <c r="C143" s="35" t="s">
        <v>5886</v>
      </c>
      <c r="D143" s="29" t="s">
        <v>128</v>
      </c>
      <c r="E143" s="1" t="s">
        <v>129</v>
      </c>
      <c r="F143" s="1" t="s">
        <v>130</v>
      </c>
      <c r="G143" s="4" t="s">
        <v>5572</v>
      </c>
      <c r="H143" s="4" t="s">
        <v>5715</v>
      </c>
      <c r="I143" s="4" t="s">
        <v>5669</v>
      </c>
      <c r="J143" s="2">
        <v>34311</v>
      </c>
      <c r="K143" s="1" t="s">
        <v>19</v>
      </c>
      <c r="L143" s="1" t="s">
        <v>20</v>
      </c>
      <c r="M143" s="1" t="s">
        <v>131</v>
      </c>
      <c r="N143" s="1" t="s">
        <v>132</v>
      </c>
      <c r="O143" s="1" t="s">
        <v>23</v>
      </c>
      <c r="P143" s="1" t="s">
        <v>133</v>
      </c>
      <c r="R143" s="1">
        <v>2013</v>
      </c>
    </row>
    <row r="144" spans="1:20" ht="15" customHeight="1" x14ac:dyDescent="0.25">
      <c r="A144" s="4" t="s">
        <v>15</v>
      </c>
      <c r="B144" s="1">
        <v>4296508</v>
      </c>
      <c r="C144" s="35" t="s">
        <v>5887</v>
      </c>
      <c r="D144" s="29" t="s">
        <v>142</v>
      </c>
      <c r="E144" s="1" t="s">
        <v>143</v>
      </c>
      <c r="F144" s="1" t="s">
        <v>144</v>
      </c>
      <c r="G144" s="4" t="s">
        <v>5572</v>
      </c>
      <c r="H144" s="4" t="s">
        <v>5715</v>
      </c>
      <c r="I144" s="4" t="s">
        <v>5669</v>
      </c>
      <c r="J144" s="2">
        <v>34086</v>
      </c>
      <c r="K144" s="1" t="s">
        <v>19</v>
      </c>
      <c r="L144" s="1" t="s">
        <v>20</v>
      </c>
      <c r="M144" s="1" t="s">
        <v>145</v>
      </c>
      <c r="N144" s="1" t="s">
        <v>146</v>
      </c>
      <c r="O144" s="1" t="s">
        <v>23</v>
      </c>
      <c r="P144" s="1" t="s">
        <v>147</v>
      </c>
      <c r="Q144" s="1">
        <f>31-653418483</f>
        <v>-653418452</v>
      </c>
      <c r="R144" s="1">
        <v>2013</v>
      </c>
    </row>
    <row r="145" spans="1:19" ht="15" customHeight="1" x14ac:dyDescent="0.25">
      <c r="A145" s="4" t="s">
        <v>15</v>
      </c>
      <c r="B145" s="1">
        <v>4298926</v>
      </c>
      <c r="C145" s="35" t="s">
        <v>5888</v>
      </c>
      <c r="D145" s="29" t="s">
        <v>165</v>
      </c>
      <c r="E145" s="1" t="s">
        <v>166</v>
      </c>
      <c r="F145" s="1" t="s">
        <v>167</v>
      </c>
      <c r="G145" s="4" t="s">
        <v>5572</v>
      </c>
      <c r="H145" s="4" t="s">
        <v>5715</v>
      </c>
      <c r="I145" s="4" t="s">
        <v>5669</v>
      </c>
      <c r="J145" s="2">
        <v>35052</v>
      </c>
      <c r="K145" s="1" t="s">
        <v>19</v>
      </c>
      <c r="L145" s="1" t="s">
        <v>20</v>
      </c>
      <c r="M145" s="1" t="s">
        <v>168</v>
      </c>
      <c r="N145" s="1" t="s">
        <v>169</v>
      </c>
      <c r="O145" s="1" t="s">
        <v>23</v>
      </c>
      <c r="P145" s="1" t="s">
        <v>170</v>
      </c>
      <c r="Q145" s="1">
        <f>31-610487573</f>
        <v>-610487542</v>
      </c>
      <c r="R145" s="1">
        <v>2013</v>
      </c>
    </row>
    <row r="146" spans="1:19" ht="15" customHeight="1" x14ac:dyDescent="0.25">
      <c r="A146" s="4" t="s">
        <v>15</v>
      </c>
      <c r="B146" s="1">
        <v>4311760</v>
      </c>
      <c r="C146" s="35" t="s">
        <v>5889</v>
      </c>
      <c r="D146" s="29" t="s">
        <v>4624</v>
      </c>
      <c r="E146" s="1" t="s">
        <v>4625</v>
      </c>
      <c r="F146" s="1" t="s">
        <v>4626</v>
      </c>
      <c r="G146" s="4" t="s">
        <v>5572</v>
      </c>
      <c r="H146" s="4" t="s">
        <v>5715</v>
      </c>
      <c r="I146" s="4" t="s">
        <v>5669</v>
      </c>
      <c r="J146" s="2">
        <v>34605</v>
      </c>
      <c r="K146" s="1" t="s">
        <v>19</v>
      </c>
      <c r="L146" s="1" t="s">
        <v>20</v>
      </c>
      <c r="M146" s="1" t="s">
        <v>4627</v>
      </c>
      <c r="N146" s="1" t="s">
        <v>4628</v>
      </c>
      <c r="O146" s="1" t="s">
        <v>23</v>
      </c>
      <c r="P146" s="1" t="s">
        <v>4629</v>
      </c>
      <c r="Q146" s="1">
        <f>31-649655257</f>
        <v>-649655226</v>
      </c>
      <c r="R146" s="1">
        <v>2013</v>
      </c>
    </row>
    <row r="147" spans="1:19" ht="15" customHeight="1" x14ac:dyDescent="0.25">
      <c r="A147" s="4" t="s">
        <v>15</v>
      </c>
      <c r="B147" s="1">
        <v>4213343</v>
      </c>
      <c r="C147" s="35" t="s">
        <v>5890</v>
      </c>
      <c r="D147" s="29" t="s">
        <v>177</v>
      </c>
      <c r="E147" s="1" t="s">
        <v>178</v>
      </c>
      <c r="F147" s="1" t="s">
        <v>179</v>
      </c>
      <c r="G147" s="4" t="s">
        <v>5572</v>
      </c>
      <c r="H147" s="4" t="s">
        <v>5715</v>
      </c>
      <c r="I147" s="4" t="s">
        <v>5669</v>
      </c>
      <c r="J147" s="2">
        <v>34580</v>
      </c>
      <c r="K147" s="1" t="s">
        <v>19</v>
      </c>
      <c r="L147" s="1" t="s">
        <v>20</v>
      </c>
      <c r="M147" s="1" t="s">
        <v>180</v>
      </c>
      <c r="N147" s="1" t="s">
        <v>181</v>
      </c>
      <c r="O147" s="1" t="s">
        <v>23</v>
      </c>
      <c r="P147" s="1" t="s">
        <v>182</v>
      </c>
      <c r="Q147" s="1">
        <f>31-623180931</f>
        <v>-623180900</v>
      </c>
      <c r="R147" s="1">
        <v>2012</v>
      </c>
      <c r="S147" s="1" t="s">
        <v>88</v>
      </c>
    </row>
    <row r="148" spans="1:19" ht="15" customHeight="1" x14ac:dyDescent="0.25">
      <c r="A148" s="4" t="s">
        <v>15</v>
      </c>
      <c r="B148" s="1">
        <v>4310012</v>
      </c>
      <c r="C148" s="35" t="s">
        <v>5891</v>
      </c>
      <c r="D148" s="29" t="s">
        <v>183</v>
      </c>
      <c r="E148" s="1" t="s">
        <v>184</v>
      </c>
      <c r="F148" s="1" t="s">
        <v>185</v>
      </c>
      <c r="G148" s="4" t="s">
        <v>5572</v>
      </c>
      <c r="H148" s="4" t="s">
        <v>5715</v>
      </c>
      <c r="I148" s="4" t="s">
        <v>5669</v>
      </c>
      <c r="J148" s="2">
        <v>34605</v>
      </c>
      <c r="K148" s="1" t="s">
        <v>19</v>
      </c>
      <c r="L148" s="1" t="s">
        <v>20</v>
      </c>
      <c r="M148" s="1" t="s">
        <v>186</v>
      </c>
      <c r="N148" s="1" t="s">
        <v>187</v>
      </c>
      <c r="O148" s="1" t="s">
        <v>23</v>
      </c>
      <c r="P148" s="1" t="s">
        <v>188</v>
      </c>
      <c r="Q148" s="1">
        <f>31-627020164</f>
        <v>-627020133</v>
      </c>
      <c r="R148" s="1">
        <v>2013</v>
      </c>
    </row>
    <row r="149" spans="1:19" ht="15" customHeight="1" x14ac:dyDescent="0.25">
      <c r="A149" s="4" t="s">
        <v>15</v>
      </c>
      <c r="B149" s="1">
        <v>4312244</v>
      </c>
      <c r="C149" s="35" t="s">
        <v>5892</v>
      </c>
      <c r="D149" s="29" t="s">
        <v>189</v>
      </c>
      <c r="E149" s="1" t="s">
        <v>190</v>
      </c>
      <c r="F149" s="1" t="s">
        <v>191</v>
      </c>
      <c r="G149" s="4" t="s">
        <v>5572</v>
      </c>
      <c r="H149" s="4" t="s">
        <v>5715</v>
      </c>
      <c r="I149" s="4" t="s">
        <v>5669</v>
      </c>
      <c r="J149" s="2">
        <v>34836</v>
      </c>
      <c r="K149" s="1" t="s">
        <v>19</v>
      </c>
      <c r="L149" s="1" t="s">
        <v>20</v>
      </c>
      <c r="M149" s="1" t="s">
        <v>192</v>
      </c>
      <c r="N149" s="1" t="s">
        <v>193</v>
      </c>
      <c r="O149" s="1" t="s">
        <v>23</v>
      </c>
      <c r="P149" s="1" t="s">
        <v>194</v>
      </c>
      <c r="Q149" s="1">
        <f>31-636581737</f>
        <v>-636581706</v>
      </c>
      <c r="R149" s="1">
        <v>2013</v>
      </c>
    </row>
    <row r="150" spans="1:19" ht="15" customHeight="1" x14ac:dyDescent="0.25">
      <c r="A150" s="4" t="s">
        <v>15</v>
      </c>
      <c r="B150" s="1">
        <v>4224841</v>
      </c>
      <c r="C150" s="35" t="s">
        <v>5893</v>
      </c>
      <c r="D150" s="29" t="s">
        <v>207</v>
      </c>
      <c r="E150" s="1" t="s">
        <v>208</v>
      </c>
      <c r="F150" s="1" t="s">
        <v>209</v>
      </c>
      <c r="G150" s="4" t="s">
        <v>5573</v>
      </c>
      <c r="H150" s="4" t="s">
        <v>5715</v>
      </c>
      <c r="I150" s="4" t="s">
        <v>5670</v>
      </c>
      <c r="L150" s="1" t="s">
        <v>20</v>
      </c>
      <c r="Q150" s="1">
        <v>-657313027</v>
      </c>
      <c r="R150" s="1">
        <v>2013</v>
      </c>
      <c r="S150" s="1" t="s">
        <v>115</v>
      </c>
    </row>
    <row r="151" spans="1:19" ht="15" customHeight="1" x14ac:dyDescent="0.25">
      <c r="A151" s="4" t="s">
        <v>15</v>
      </c>
      <c r="B151" s="1">
        <v>4242416</v>
      </c>
      <c r="C151" s="35" t="s">
        <v>5894</v>
      </c>
      <c r="D151" s="29" t="s">
        <v>210</v>
      </c>
      <c r="E151" s="1" t="s">
        <v>211</v>
      </c>
      <c r="F151" s="1" t="s">
        <v>212</v>
      </c>
      <c r="G151" s="4" t="s">
        <v>5573</v>
      </c>
      <c r="H151" s="4" t="s">
        <v>5715</v>
      </c>
      <c r="I151" s="4" t="s">
        <v>5670</v>
      </c>
      <c r="J151" s="2">
        <v>34589</v>
      </c>
      <c r="K151" s="1" t="s">
        <v>19</v>
      </c>
      <c r="L151" s="1" t="s">
        <v>20</v>
      </c>
      <c r="M151" s="1" t="s">
        <v>213</v>
      </c>
      <c r="N151" s="1" t="s">
        <v>214</v>
      </c>
      <c r="O151" s="1" t="s">
        <v>23</v>
      </c>
      <c r="P151" s="1" t="s">
        <v>215</v>
      </c>
      <c r="Q151" s="1">
        <f>31-622589423</f>
        <v>-622589392</v>
      </c>
      <c r="R151" s="1">
        <v>2012</v>
      </c>
      <c r="S151" s="1" t="s">
        <v>5229</v>
      </c>
    </row>
    <row r="152" spans="1:19" ht="15" customHeight="1" x14ac:dyDescent="0.25">
      <c r="A152" s="4" t="s">
        <v>15</v>
      </c>
      <c r="B152" s="1">
        <v>4235223</v>
      </c>
      <c r="C152" s="35" t="s">
        <v>5895</v>
      </c>
      <c r="D152" s="29" t="s">
        <v>240</v>
      </c>
      <c r="E152" s="1" t="s">
        <v>241</v>
      </c>
      <c r="F152" s="1" t="s">
        <v>242</v>
      </c>
      <c r="G152" s="4" t="s">
        <v>5573</v>
      </c>
      <c r="H152" s="4" t="s">
        <v>5715</v>
      </c>
      <c r="I152" s="4" t="s">
        <v>5670</v>
      </c>
      <c r="J152" s="2">
        <v>33942</v>
      </c>
      <c r="K152" s="1" t="s">
        <v>19</v>
      </c>
      <c r="L152" s="1" t="s">
        <v>20</v>
      </c>
      <c r="M152" s="1" t="s">
        <v>243</v>
      </c>
      <c r="N152" s="1" t="s">
        <v>244</v>
      </c>
      <c r="O152" s="1" t="s">
        <v>23</v>
      </c>
      <c r="P152" s="1" t="s">
        <v>245</v>
      </c>
      <c r="Q152" s="1">
        <f>6-12777384</f>
        <v>-12777378</v>
      </c>
      <c r="R152" s="1">
        <v>2013</v>
      </c>
    </row>
    <row r="153" spans="1:19" ht="15" customHeight="1" x14ac:dyDescent="0.25">
      <c r="A153" s="4" t="s">
        <v>15</v>
      </c>
      <c r="B153" s="1">
        <v>4335082</v>
      </c>
      <c r="C153" s="35" t="s">
        <v>5896</v>
      </c>
      <c r="D153" s="29" t="s">
        <v>246</v>
      </c>
      <c r="E153" s="1" t="s">
        <v>247</v>
      </c>
      <c r="F153" s="1" t="s">
        <v>28</v>
      </c>
      <c r="G153" s="4" t="s">
        <v>5573</v>
      </c>
      <c r="H153" s="4" t="s">
        <v>5715</v>
      </c>
      <c r="I153" s="4" t="s">
        <v>5670</v>
      </c>
      <c r="J153" s="2">
        <v>34401</v>
      </c>
      <c r="K153" s="1" t="s">
        <v>19</v>
      </c>
      <c r="L153" s="1" t="s">
        <v>20</v>
      </c>
      <c r="M153" s="1" t="s">
        <v>248</v>
      </c>
      <c r="N153" s="1" t="s">
        <v>249</v>
      </c>
      <c r="O153" s="1" t="s">
        <v>23</v>
      </c>
      <c r="P153" s="1" t="s">
        <v>250</v>
      </c>
      <c r="Q153" s="1">
        <f>31-634320969</f>
        <v>-634320938</v>
      </c>
      <c r="R153" s="1">
        <v>2013</v>
      </c>
    </row>
    <row r="154" spans="1:19" ht="15" customHeight="1" x14ac:dyDescent="0.25">
      <c r="A154" s="4" t="s">
        <v>15</v>
      </c>
      <c r="B154" s="1">
        <v>4237749</v>
      </c>
      <c r="C154" s="35" t="s">
        <v>5897</v>
      </c>
      <c r="D154" s="29" t="s">
        <v>251</v>
      </c>
      <c r="E154" s="1" t="s">
        <v>252</v>
      </c>
      <c r="F154" s="1" t="s">
        <v>253</v>
      </c>
      <c r="G154" s="4" t="s">
        <v>5573</v>
      </c>
      <c r="H154" s="4" t="s">
        <v>5715</v>
      </c>
      <c r="I154" s="4" t="s">
        <v>5670</v>
      </c>
      <c r="J154" s="2">
        <v>34460</v>
      </c>
      <c r="K154" s="1" t="s">
        <v>19</v>
      </c>
      <c r="L154" s="1" t="s">
        <v>20</v>
      </c>
      <c r="M154" s="1" t="s">
        <v>254</v>
      </c>
      <c r="N154" s="1" t="s">
        <v>255</v>
      </c>
      <c r="O154" s="1" t="s">
        <v>23</v>
      </c>
      <c r="P154" s="1" t="s">
        <v>256</v>
      </c>
      <c r="Q154" s="1">
        <f>31-626787352</f>
        <v>-626787321</v>
      </c>
      <c r="R154" s="1">
        <v>2012</v>
      </c>
      <c r="S154" s="1" t="s">
        <v>5230</v>
      </c>
    </row>
    <row r="155" spans="1:19" ht="15" customHeight="1" x14ac:dyDescent="0.25">
      <c r="A155" s="4" t="s">
        <v>15</v>
      </c>
      <c r="B155" s="1">
        <v>4296176</v>
      </c>
      <c r="C155" s="35" t="s">
        <v>5898</v>
      </c>
      <c r="D155" s="29" t="s">
        <v>275</v>
      </c>
      <c r="E155" s="1" t="s">
        <v>276</v>
      </c>
      <c r="F155" s="1" t="s">
        <v>277</v>
      </c>
      <c r="G155" s="4" t="s">
        <v>5573</v>
      </c>
      <c r="H155" s="4" t="s">
        <v>5715</v>
      </c>
      <c r="I155" s="4" t="s">
        <v>5670</v>
      </c>
      <c r="J155" s="2">
        <v>34653</v>
      </c>
      <c r="K155" s="1" t="s">
        <v>19</v>
      </c>
      <c r="L155" s="1" t="s">
        <v>20</v>
      </c>
      <c r="M155" s="1" t="s">
        <v>278</v>
      </c>
      <c r="N155" s="1" t="s">
        <v>279</v>
      </c>
      <c r="O155" s="1" t="s">
        <v>23</v>
      </c>
      <c r="P155" s="1" t="s">
        <v>280</v>
      </c>
      <c r="Q155" s="1">
        <f>31-621691821</f>
        <v>-621691790</v>
      </c>
      <c r="R155" s="1">
        <v>2013</v>
      </c>
    </row>
    <row r="156" spans="1:19" ht="15" customHeight="1" x14ac:dyDescent="0.25">
      <c r="A156" s="4" t="s">
        <v>15</v>
      </c>
      <c r="B156" s="1">
        <v>4301137</v>
      </c>
      <c r="C156" s="35" t="s">
        <v>5899</v>
      </c>
      <c r="D156" s="29" t="s">
        <v>287</v>
      </c>
      <c r="E156" s="1" t="s">
        <v>288</v>
      </c>
      <c r="F156" s="1" t="s">
        <v>289</v>
      </c>
      <c r="G156" s="4" t="s">
        <v>5573</v>
      </c>
      <c r="H156" s="4" t="s">
        <v>5715</v>
      </c>
      <c r="I156" s="4" t="s">
        <v>5670</v>
      </c>
      <c r="J156" s="2">
        <v>34806</v>
      </c>
      <c r="K156" s="1" t="s">
        <v>19</v>
      </c>
      <c r="L156" s="1" t="s">
        <v>20</v>
      </c>
      <c r="M156" s="1" t="s">
        <v>290</v>
      </c>
      <c r="N156" s="1" t="s">
        <v>291</v>
      </c>
      <c r="O156" s="1" t="s">
        <v>23</v>
      </c>
      <c r="P156" s="1" t="s">
        <v>292</v>
      </c>
      <c r="Q156" s="1">
        <f>31-613332454</f>
        <v>-613332423</v>
      </c>
      <c r="R156" s="1">
        <v>2013</v>
      </c>
    </row>
    <row r="157" spans="1:19" ht="15" customHeight="1" x14ac:dyDescent="0.25">
      <c r="A157" s="4" t="s">
        <v>15</v>
      </c>
      <c r="B157" s="1">
        <v>4290461</v>
      </c>
      <c r="C157" s="35" t="s">
        <v>5900</v>
      </c>
      <c r="D157" s="29" t="s">
        <v>293</v>
      </c>
      <c r="E157" s="1" t="s">
        <v>294</v>
      </c>
      <c r="F157" s="1" t="s">
        <v>295</v>
      </c>
      <c r="G157" s="4" t="s">
        <v>5573</v>
      </c>
      <c r="H157" s="4" t="s">
        <v>5715</v>
      </c>
      <c r="I157" s="4" t="s">
        <v>5670</v>
      </c>
      <c r="J157" s="2">
        <v>34554</v>
      </c>
      <c r="K157" s="1" t="s">
        <v>19</v>
      </c>
      <c r="L157" s="1" t="s">
        <v>20</v>
      </c>
      <c r="M157" s="1" t="s">
        <v>296</v>
      </c>
      <c r="N157" s="1" t="s">
        <v>297</v>
      </c>
      <c r="O157" s="1" t="s">
        <v>23</v>
      </c>
      <c r="P157" s="1" t="s">
        <v>298</v>
      </c>
      <c r="Q157" s="1">
        <f>31-655588567</f>
        <v>-655588536</v>
      </c>
      <c r="R157" s="1">
        <v>2013</v>
      </c>
    </row>
    <row r="158" spans="1:19" ht="15" customHeight="1" x14ac:dyDescent="0.25">
      <c r="A158" s="4" t="s">
        <v>15</v>
      </c>
      <c r="B158" s="1">
        <v>4209362</v>
      </c>
      <c r="C158" s="35" t="s">
        <v>5901</v>
      </c>
      <c r="D158" s="29" t="s">
        <v>299</v>
      </c>
      <c r="E158" s="1" t="s">
        <v>300</v>
      </c>
      <c r="F158" s="1" t="s">
        <v>301</v>
      </c>
      <c r="G158" s="4" t="s">
        <v>5574</v>
      </c>
      <c r="H158" s="4" t="s">
        <v>5715</v>
      </c>
      <c r="I158" s="4" t="s">
        <v>5670</v>
      </c>
      <c r="J158" s="2">
        <v>34433</v>
      </c>
      <c r="K158" s="1" t="s">
        <v>19</v>
      </c>
      <c r="L158" s="1" t="s">
        <v>20</v>
      </c>
      <c r="M158" s="1" t="s">
        <v>302</v>
      </c>
      <c r="N158" s="1" t="s">
        <v>303</v>
      </c>
      <c r="O158" s="1" t="s">
        <v>23</v>
      </c>
      <c r="P158" s="1" t="s">
        <v>304</v>
      </c>
      <c r="Q158" s="1">
        <f>31-620063937</f>
        <v>-620063906</v>
      </c>
      <c r="R158" s="1">
        <v>2013</v>
      </c>
    </row>
    <row r="159" spans="1:19" ht="15" customHeight="1" x14ac:dyDescent="0.25">
      <c r="A159" s="4" t="s">
        <v>15</v>
      </c>
      <c r="B159" s="1">
        <v>4312104</v>
      </c>
      <c r="C159" s="35" t="s">
        <v>5902</v>
      </c>
      <c r="D159" s="29" t="s">
        <v>148</v>
      </c>
      <c r="E159" s="1" t="s">
        <v>316</v>
      </c>
      <c r="F159" s="1" t="s">
        <v>317</v>
      </c>
      <c r="G159" s="4" t="s">
        <v>5574</v>
      </c>
      <c r="H159" s="4" t="s">
        <v>5715</v>
      </c>
      <c r="I159" s="4" t="s">
        <v>5670</v>
      </c>
      <c r="J159" s="2">
        <v>34759</v>
      </c>
      <c r="K159" s="1" t="s">
        <v>19</v>
      </c>
      <c r="L159" s="1" t="s">
        <v>20</v>
      </c>
      <c r="M159" s="1" t="s">
        <v>318</v>
      </c>
      <c r="N159" s="1" t="s">
        <v>319</v>
      </c>
      <c r="O159" s="1" t="s">
        <v>23</v>
      </c>
      <c r="P159" s="1" t="s">
        <v>320</v>
      </c>
      <c r="Q159" s="1">
        <f>31-638625776</f>
        <v>-638625745</v>
      </c>
      <c r="R159" s="1">
        <v>2013</v>
      </c>
    </row>
    <row r="160" spans="1:19" ht="15" customHeight="1" x14ac:dyDescent="0.25">
      <c r="A160" s="4" t="s">
        <v>15</v>
      </c>
      <c r="B160" s="1">
        <v>4308557</v>
      </c>
      <c r="C160" s="35" t="s">
        <v>5903</v>
      </c>
      <c r="D160" s="29" t="s">
        <v>321</v>
      </c>
      <c r="E160" s="1" t="s">
        <v>322</v>
      </c>
      <c r="F160" s="1" t="s">
        <v>323</v>
      </c>
      <c r="G160" s="4" t="s">
        <v>5574</v>
      </c>
      <c r="H160" s="4" t="s">
        <v>5715</v>
      </c>
      <c r="I160" s="4" t="s">
        <v>5670</v>
      </c>
      <c r="J160" s="2">
        <v>34476</v>
      </c>
      <c r="K160" s="1" t="s">
        <v>19</v>
      </c>
      <c r="L160" s="1" t="s">
        <v>20</v>
      </c>
      <c r="M160" s="1" t="s">
        <v>324</v>
      </c>
      <c r="N160" s="1" t="s">
        <v>325</v>
      </c>
      <c r="O160" s="1" t="s">
        <v>23</v>
      </c>
      <c r="P160" s="1" t="s">
        <v>326</v>
      </c>
      <c r="Q160" s="1">
        <f>31-629576475</f>
        <v>-629576444</v>
      </c>
      <c r="R160" s="1">
        <v>2013</v>
      </c>
    </row>
    <row r="161" spans="1:18" ht="15" customHeight="1" x14ac:dyDescent="0.25">
      <c r="A161" s="4" t="s">
        <v>15</v>
      </c>
      <c r="B161" s="1">
        <v>4280156</v>
      </c>
      <c r="C161" s="35" t="s">
        <v>5904</v>
      </c>
      <c r="D161" s="29" t="s">
        <v>333</v>
      </c>
      <c r="E161" s="1" t="s">
        <v>334</v>
      </c>
      <c r="F161" s="1" t="s">
        <v>335</v>
      </c>
      <c r="G161" s="4" t="s">
        <v>5574</v>
      </c>
      <c r="H161" s="4" t="s">
        <v>5715</v>
      </c>
      <c r="I161" s="4" t="s">
        <v>5670</v>
      </c>
      <c r="J161" s="2">
        <v>34725</v>
      </c>
      <c r="K161" s="1" t="s">
        <v>336</v>
      </c>
      <c r="L161" s="1" t="s">
        <v>20</v>
      </c>
      <c r="M161" s="1" t="s">
        <v>337</v>
      </c>
      <c r="N161" s="1" t="s">
        <v>338</v>
      </c>
      <c r="O161" s="1" t="s">
        <v>23</v>
      </c>
      <c r="P161" s="1" t="s">
        <v>339</v>
      </c>
      <c r="Q161" s="1">
        <f>31-652172198</f>
        <v>-652172167</v>
      </c>
      <c r="R161" s="1">
        <v>2013</v>
      </c>
    </row>
    <row r="162" spans="1:18" ht="15" customHeight="1" x14ac:dyDescent="0.25">
      <c r="A162" s="4" t="s">
        <v>15</v>
      </c>
      <c r="B162" s="1">
        <v>4300300</v>
      </c>
      <c r="C162" s="35" t="s">
        <v>5905</v>
      </c>
      <c r="D162" s="29" t="s">
        <v>388</v>
      </c>
      <c r="E162" s="1" t="s">
        <v>389</v>
      </c>
      <c r="F162" s="1" t="s">
        <v>390</v>
      </c>
      <c r="G162" s="34" t="s">
        <v>5574</v>
      </c>
      <c r="H162" s="4" t="s">
        <v>5715</v>
      </c>
      <c r="I162" s="4" t="s">
        <v>5670</v>
      </c>
      <c r="J162" s="2">
        <v>34918</v>
      </c>
      <c r="K162" s="1" t="s">
        <v>19</v>
      </c>
      <c r="L162" s="1" t="s">
        <v>111</v>
      </c>
      <c r="M162" s="1" t="s">
        <v>391</v>
      </c>
      <c r="N162" s="1" t="s">
        <v>392</v>
      </c>
      <c r="O162" s="1" t="s">
        <v>23</v>
      </c>
      <c r="P162" s="1" t="s">
        <v>393</v>
      </c>
      <c r="R162" s="1">
        <v>2013</v>
      </c>
    </row>
    <row r="163" spans="1:18" ht="15" customHeight="1" x14ac:dyDescent="0.25">
      <c r="A163" s="4" t="s">
        <v>15</v>
      </c>
      <c r="B163" s="1">
        <v>4291433</v>
      </c>
      <c r="C163" s="35" t="s">
        <v>5906</v>
      </c>
      <c r="D163" s="29" t="s">
        <v>358</v>
      </c>
      <c r="E163" s="1" t="s">
        <v>359</v>
      </c>
      <c r="F163" s="1" t="s">
        <v>360</v>
      </c>
      <c r="G163" s="34" t="s">
        <v>5574</v>
      </c>
      <c r="H163" s="4" t="s">
        <v>5715</v>
      </c>
      <c r="I163" s="4" t="s">
        <v>5670</v>
      </c>
      <c r="J163" s="2">
        <v>34391</v>
      </c>
      <c r="K163" s="1" t="s">
        <v>19</v>
      </c>
      <c r="L163" s="1" t="s">
        <v>20</v>
      </c>
      <c r="M163" s="1" t="s">
        <v>361</v>
      </c>
      <c r="N163" s="1" t="s">
        <v>362</v>
      </c>
      <c r="O163" s="1" t="s">
        <v>23</v>
      </c>
      <c r="P163" s="1" t="s">
        <v>363</v>
      </c>
      <c r="Q163" s="1">
        <f>31-653907516</f>
        <v>-653907485</v>
      </c>
      <c r="R163" s="1">
        <v>2013</v>
      </c>
    </row>
    <row r="164" spans="1:18" ht="15" customHeight="1" x14ac:dyDescent="0.25">
      <c r="A164" s="4" t="s">
        <v>15</v>
      </c>
      <c r="B164" s="1">
        <v>4302257</v>
      </c>
      <c r="C164" s="35" t="s">
        <v>5907</v>
      </c>
      <c r="D164" s="29" t="s">
        <v>370</v>
      </c>
      <c r="E164" s="1" t="s">
        <v>371</v>
      </c>
      <c r="F164" s="1" t="s">
        <v>372</v>
      </c>
      <c r="G164" s="34" t="s">
        <v>5574</v>
      </c>
      <c r="H164" s="4" t="s">
        <v>5715</v>
      </c>
      <c r="I164" s="4" t="s">
        <v>5670</v>
      </c>
      <c r="J164" s="2">
        <v>34974</v>
      </c>
      <c r="K164" s="1" t="s">
        <v>19</v>
      </c>
      <c r="L164" s="1" t="s">
        <v>20</v>
      </c>
      <c r="M164" s="1" t="s">
        <v>373</v>
      </c>
      <c r="N164" s="1" t="s">
        <v>374</v>
      </c>
      <c r="O164" s="1" t="s">
        <v>23</v>
      </c>
      <c r="P164" s="1" t="s">
        <v>375</v>
      </c>
      <c r="Q164" s="1">
        <f>31-621707513</f>
        <v>-621707482</v>
      </c>
      <c r="R164" s="1">
        <v>2013</v>
      </c>
    </row>
    <row r="165" spans="1:18" ht="15" customHeight="1" x14ac:dyDescent="0.25">
      <c r="A165" s="4" t="s">
        <v>15</v>
      </c>
      <c r="B165" s="1">
        <v>4290712</v>
      </c>
      <c r="C165" s="35" t="s">
        <v>5908</v>
      </c>
      <c r="D165" s="29" t="s">
        <v>382</v>
      </c>
      <c r="E165" s="1" t="s">
        <v>383</v>
      </c>
      <c r="F165" s="1" t="s">
        <v>384</v>
      </c>
      <c r="G165" s="34" t="s">
        <v>5574</v>
      </c>
      <c r="H165" s="4" t="s">
        <v>5715</v>
      </c>
      <c r="I165" s="4" t="s">
        <v>5670</v>
      </c>
      <c r="J165" s="2">
        <v>34966</v>
      </c>
      <c r="K165" s="1" t="s">
        <v>19</v>
      </c>
      <c r="L165" s="1" t="s">
        <v>20</v>
      </c>
      <c r="M165" s="1" t="s">
        <v>385</v>
      </c>
      <c r="N165" s="1" t="s">
        <v>386</v>
      </c>
      <c r="O165" s="1" t="s">
        <v>23</v>
      </c>
      <c r="P165" s="1" t="s">
        <v>387</v>
      </c>
      <c r="Q165" s="1">
        <f>31-629073343</f>
        <v>-629073312</v>
      </c>
      <c r="R165" s="1">
        <v>2013</v>
      </c>
    </row>
    <row r="166" spans="1:18" ht="15" customHeight="1" x14ac:dyDescent="0.25">
      <c r="A166" s="4" t="s">
        <v>15</v>
      </c>
      <c r="B166" s="1">
        <v>4320336</v>
      </c>
      <c r="C166" s="35" t="s">
        <v>5909</v>
      </c>
      <c r="D166" s="29" t="s">
        <v>4026</v>
      </c>
      <c r="E166" s="1" t="s">
        <v>4027</v>
      </c>
      <c r="F166" s="1" t="s">
        <v>1538</v>
      </c>
      <c r="G166" s="34" t="s">
        <v>5575</v>
      </c>
      <c r="H166" s="4" t="s">
        <v>5715</v>
      </c>
      <c r="I166" s="4" t="s">
        <v>5671</v>
      </c>
      <c r="J166" s="2">
        <v>34935</v>
      </c>
      <c r="K166" s="1" t="s">
        <v>19</v>
      </c>
      <c r="L166" s="1" t="s">
        <v>20</v>
      </c>
      <c r="M166" s="1" t="s">
        <v>4028</v>
      </c>
      <c r="N166" s="1" t="s">
        <v>4029</v>
      </c>
      <c r="O166" s="1" t="s">
        <v>23</v>
      </c>
      <c r="P166" s="1" t="s">
        <v>4030</v>
      </c>
      <c r="Q166" s="1">
        <f>31-652267420</f>
        <v>-652267389</v>
      </c>
      <c r="R166" s="1">
        <v>2013</v>
      </c>
    </row>
    <row r="167" spans="1:18" ht="15" customHeight="1" x14ac:dyDescent="0.25">
      <c r="A167" s="4" t="s">
        <v>15</v>
      </c>
      <c r="B167" s="1">
        <v>4288114</v>
      </c>
      <c r="C167" s="35" t="s">
        <v>5910</v>
      </c>
      <c r="D167" s="29" t="s">
        <v>400</v>
      </c>
      <c r="E167" s="1" t="s">
        <v>401</v>
      </c>
      <c r="F167" s="1" t="s">
        <v>402</v>
      </c>
      <c r="G167" s="34" t="s">
        <v>5575</v>
      </c>
      <c r="H167" s="4" t="s">
        <v>5715</v>
      </c>
      <c r="I167" s="4" t="s">
        <v>5671</v>
      </c>
      <c r="J167" s="2">
        <v>34761</v>
      </c>
      <c r="K167" s="1" t="s">
        <v>19</v>
      </c>
      <c r="L167" s="1" t="s">
        <v>20</v>
      </c>
      <c r="M167" s="1" t="s">
        <v>403</v>
      </c>
      <c r="N167" s="1" t="s">
        <v>404</v>
      </c>
      <c r="O167" s="1" t="s">
        <v>23</v>
      </c>
      <c r="P167" s="1" t="s">
        <v>405</v>
      </c>
      <c r="Q167" s="1">
        <f>31-642964846</f>
        <v>-642964815</v>
      </c>
      <c r="R167" s="1">
        <v>2013</v>
      </c>
    </row>
    <row r="168" spans="1:18" ht="15" customHeight="1" x14ac:dyDescent="0.25">
      <c r="A168" s="4" t="s">
        <v>15</v>
      </c>
      <c r="B168" s="1">
        <v>4318129</v>
      </c>
      <c r="C168" s="35" t="s">
        <v>5911</v>
      </c>
      <c r="D168" s="29" t="s">
        <v>406</v>
      </c>
      <c r="E168" s="1" t="s">
        <v>407</v>
      </c>
      <c r="F168" s="1" t="s">
        <v>408</v>
      </c>
      <c r="G168" s="28" t="s">
        <v>5575</v>
      </c>
      <c r="H168" s="4" t="s">
        <v>5715</v>
      </c>
      <c r="I168" s="4" t="s">
        <v>5671</v>
      </c>
      <c r="J168" s="2">
        <v>34765</v>
      </c>
      <c r="K168" s="1" t="s">
        <v>19</v>
      </c>
      <c r="L168" s="1" t="s">
        <v>20</v>
      </c>
      <c r="M168" s="1" t="s">
        <v>409</v>
      </c>
      <c r="N168" s="1" t="s">
        <v>410</v>
      </c>
      <c r="O168" s="1" t="s">
        <v>23</v>
      </c>
      <c r="P168" s="1" t="s">
        <v>411</v>
      </c>
      <c r="Q168" s="1">
        <f>31-610745030</f>
        <v>-610744999</v>
      </c>
      <c r="R168" s="1">
        <v>2013</v>
      </c>
    </row>
    <row r="169" spans="1:18" ht="15" customHeight="1" x14ac:dyDescent="0.25">
      <c r="A169" s="4" t="s">
        <v>15</v>
      </c>
      <c r="B169" s="1">
        <v>4312325</v>
      </c>
      <c r="C169" s="35" t="s">
        <v>5912</v>
      </c>
      <c r="D169" s="29" t="s">
        <v>418</v>
      </c>
      <c r="E169" s="1" t="s">
        <v>419</v>
      </c>
      <c r="F169" s="1" t="s">
        <v>84</v>
      </c>
      <c r="G169" s="28" t="s">
        <v>5575</v>
      </c>
      <c r="H169" s="4" t="s">
        <v>5715</v>
      </c>
      <c r="I169" s="4" t="s">
        <v>5671</v>
      </c>
      <c r="J169" s="2">
        <v>34719</v>
      </c>
      <c r="K169" s="1" t="s">
        <v>19</v>
      </c>
      <c r="L169" s="1" t="s">
        <v>20</v>
      </c>
      <c r="M169" s="1" t="s">
        <v>420</v>
      </c>
      <c r="N169" s="1" t="s">
        <v>421</v>
      </c>
      <c r="O169" s="1" t="s">
        <v>23</v>
      </c>
      <c r="P169" s="1" t="s">
        <v>422</v>
      </c>
      <c r="Q169" s="1">
        <f>31-683246579</f>
        <v>-683246548</v>
      </c>
      <c r="R169" s="1">
        <v>2013</v>
      </c>
    </row>
    <row r="170" spans="1:18" ht="15" customHeight="1" x14ac:dyDescent="0.25">
      <c r="A170" s="4" t="s">
        <v>15</v>
      </c>
      <c r="B170" s="1">
        <v>4295838</v>
      </c>
      <c r="C170" s="35" t="s">
        <v>5913</v>
      </c>
      <c r="D170" s="29" t="s">
        <v>429</v>
      </c>
      <c r="E170" s="1" t="s">
        <v>430</v>
      </c>
      <c r="F170" s="1" t="s">
        <v>431</v>
      </c>
      <c r="G170" s="34" t="s">
        <v>5575</v>
      </c>
      <c r="H170" s="4" t="s">
        <v>5715</v>
      </c>
      <c r="I170" s="4" t="s">
        <v>5671</v>
      </c>
      <c r="J170" s="2">
        <v>34473</v>
      </c>
      <c r="K170" s="1" t="s">
        <v>19</v>
      </c>
      <c r="L170" s="1" t="s">
        <v>20</v>
      </c>
      <c r="M170" s="1" t="s">
        <v>432</v>
      </c>
      <c r="N170" s="1" t="s">
        <v>433</v>
      </c>
      <c r="O170" s="1" t="s">
        <v>23</v>
      </c>
      <c r="P170" s="1" t="s">
        <v>434</v>
      </c>
      <c r="Q170" s="1">
        <f>31-634014914</f>
        <v>-634014883</v>
      </c>
      <c r="R170" s="1">
        <v>2013</v>
      </c>
    </row>
    <row r="171" spans="1:18" ht="15" customHeight="1" x14ac:dyDescent="0.25">
      <c r="A171" s="4" t="s">
        <v>15</v>
      </c>
      <c r="B171" s="1">
        <v>4303342</v>
      </c>
      <c r="C171" s="35" t="s">
        <v>5914</v>
      </c>
      <c r="D171" s="29" t="s">
        <v>447</v>
      </c>
      <c r="E171" s="1" t="s">
        <v>448</v>
      </c>
      <c r="F171" s="1" t="s">
        <v>449</v>
      </c>
      <c r="G171" s="28" t="s">
        <v>5575</v>
      </c>
      <c r="H171" s="4" t="s">
        <v>5715</v>
      </c>
      <c r="I171" s="4" t="s">
        <v>5671</v>
      </c>
      <c r="J171" s="2">
        <v>34612</v>
      </c>
      <c r="K171" s="1" t="s">
        <v>19</v>
      </c>
      <c r="L171" s="1" t="s">
        <v>20</v>
      </c>
      <c r="M171" s="1" t="s">
        <v>450</v>
      </c>
      <c r="N171" s="1" t="s">
        <v>451</v>
      </c>
      <c r="O171" s="1" t="s">
        <v>23</v>
      </c>
      <c r="P171" s="1" t="s">
        <v>452</v>
      </c>
      <c r="Q171" s="1">
        <f>31-612964290</f>
        <v>-612964259</v>
      </c>
      <c r="R171" s="1">
        <v>2013</v>
      </c>
    </row>
    <row r="172" spans="1:18" ht="15" customHeight="1" x14ac:dyDescent="0.25">
      <c r="A172" s="4" t="s">
        <v>15</v>
      </c>
      <c r="B172" s="1">
        <v>4288831</v>
      </c>
      <c r="C172" s="35" t="s">
        <v>5915</v>
      </c>
      <c r="D172" s="29" t="s">
        <v>453</v>
      </c>
      <c r="E172" s="1" t="s">
        <v>454</v>
      </c>
      <c r="F172" s="1" t="s">
        <v>455</v>
      </c>
      <c r="G172" s="34" t="s">
        <v>5575</v>
      </c>
      <c r="H172" s="4" t="s">
        <v>5715</v>
      </c>
      <c r="I172" s="4" t="s">
        <v>5671</v>
      </c>
      <c r="J172" s="2">
        <v>34949</v>
      </c>
      <c r="K172" s="1" t="s">
        <v>19</v>
      </c>
      <c r="L172" s="1" t="s">
        <v>20</v>
      </c>
      <c r="M172" s="1" t="s">
        <v>456</v>
      </c>
      <c r="N172" s="1" t="s">
        <v>457</v>
      </c>
      <c r="O172" s="1" t="s">
        <v>23</v>
      </c>
      <c r="P172" s="1" t="s">
        <v>458</v>
      </c>
      <c r="Q172" s="1">
        <f>31-621634720</f>
        <v>-621634689</v>
      </c>
      <c r="R172" s="1">
        <v>2013</v>
      </c>
    </row>
    <row r="173" spans="1:18" ht="15" customHeight="1" x14ac:dyDescent="0.25">
      <c r="A173" s="4" t="s">
        <v>15</v>
      </c>
      <c r="B173" s="1">
        <v>4286774</v>
      </c>
      <c r="C173" s="35" t="s">
        <v>5916</v>
      </c>
      <c r="D173" s="29" t="s">
        <v>382</v>
      </c>
      <c r="E173" s="1" t="s">
        <v>470</v>
      </c>
      <c r="F173" s="1" t="s">
        <v>471</v>
      </c>
      <c r="G173" s="28" t="s">
        <v>5575</v>
      </c>
      <c r="H173" s="4" t="s">
        <v>5715</v>
      </c>
      <c r="I173" s="4" t="s">
        <v>5671</v>
      </c>
      <c r="J173" s="2">
        <v>34561</v>
      </c>
      <c r="K173" s="1" t="s">
        <v>19</v>
      </c>
      <c r="L173" s="1" t="s">
        <v>20</v>
      </c>
      <c r="M173" s="1" t="s">
        <v>472</v>
      </c>
      <c r="N173" s="1" t="s">
        <v>473</v>
      </c>
      <c r="O173" s="1" t="s">
        <v>23</v>
      </c>
      <c r="P173" s="1" t="s">
        <v>474</v>
      </c>
      <c r="Q173" s="1">
        <f>31-630323349</f>
        <v>-630323318</v>
      </c>
      <c r="R173" s="1">
        <v>2013</v>
      </c>
    </row>
    <row r="174" spans="1:18" ht="15" customHeight="1" x14ac:dyDescent="0.25">
      <c r="A174" s="4" t="s">
        <v>15</v>
      </c>
      <c r="B174" s="1">
        <v>4313348</v>
      </c>
      <c r="C174" s="35" t="s">
        <v>5917</v>
      </c>
      <c r="D174" s="29" t="s">
        <v>492</v>
      </c>
      <c r="E174" s="1" t="s">
        <v>493</v>
      </c>
      <c r="F174" s="1" t="s">
        <v>494</v>
      </c>
      <c r="G174" s="4" t="s">
        <v>5576</v>
      </c>
      <c r="H174" s="4" t="s">
        <v>5715</v>
      </c>
      <c r="I174" s="4" t="s">
        <v>5671</v>
      </c>
      <c r="J174" s="2">
        <v>34693</v>
      </c>
      <c r="K174" s="1" t="s">
        <v>19</v>
      </c>
      <c r="L174" s="1" t="s">
        <v>20</v>
      </c>
      <c r="M174" s="1" t="s">
        <v>495</v>
      </c>
      <c r="N174" s="1" t="s">
        <v>496</v>
      </c>
      <c r="O174" s="1" t="s">
        <v>23</v>
      </c>
      <c r="P174" s="1" t="s">
        <v>497</v>
      </c>
      <c r="Q174" s="1">
        <f>31-616286706</f>
        <v>-616286675</v>
      </c>
      <c r="R174" s="1">
        <v>2013</v>
      </c>
    </row>
    <row r="175" spans="1:18" ht="15" customHeight="1" x14ac:dyDescent="0.25">
      <c r="A175" s="4" t="s">
        <v>15</v>
      </c>
      <c r="B175" s="1">
        <v>4336658</v>
      </c>
      <c r="C175" s="35" t="s">
        <v>5918</v>
      </c>
      <c r="D175" s="29" t="s">
        <v>498</v>
      </c>
      <c r="E175" s="1" t="s">
        <v>499</v>
      </c>
      <c r="F175" s="1" t="s">
        <v>265</v>
      </c>
      <c r="G175" s="4" t="s">
        <v>5576</v>
      </c>
      <c r="H175" s="4" t="s">
        <v>5715</v>
      </c>
      <c r="I175" s="4" t="s">
        <v>5671</v>
      </c>
      <c r="J175" s="2">
        <v>32573</v>
      </c>
      <c r="K175" s="1" t="s">
        <v>19</v>
      </c>
      <c r="L175" s="1" t="s">
        <v>20</v>
      </c>
      <c r="M175" s="1" t="s">
        <v>500</v>
      </c>
      <c r="N175" s="1" t="s">
        <v>501</v>
      </c>
      <c r="O175" s="1" t="s">
        <v>23</v>
      </c>
      <c r="P175" s="1" t="s">
        <v>502</v>
      </c>
      <c r="Q175" s="1">
        <f>31-612474822</f>
        <v>-612474791</v>
      </c>
      <c r="R175" s="1">
        <v>2013</v>
      </c>
    </row>
    <row r="176" spans="1:18" ht="15" customHeight="1" x14ac:dyDescent="0.25">
      <c r="A176" s="4" t="s">
        <v>15</v>
      </c>
      <c r="B176" s="1">
        <v>4318099</v>
      </c>
      <c r="C176" s="35" t="s">
        <v>5919</v>
      </c>
      <c r="D176" s="29" t="s">
        <v>503</v>
      </c>
      <c r="E176" s="1" t="s">
        <v>504</v>
      </c>
      <c r="F176" s="1" t="s">
        <v>505</v>
      </c>
      <c r="G176" s="4" t="s">
        <v>5576</v>
      </c>
      <c r="H176" s="4" t="s">
        <v>5715</v>
      </c>
      <c r="I176" s="4" t="s">
        <v>5671</v>
      </c>
      <c r="J176" s="2">
        <v>34775</v>
      </c>
      <c r="K176" s="1" t="s">
        <v>19</v>
      </c>
      <c r="L176" s="1" t="s">
        <v>20</v>
      </c>
      <c r="M176" s="1" t="s">
        <v>506</v>
      </c>
      <c r="N176" s="1" t="s">
        <v>507</v>
      </c>
      <c r="O176" s="1" t="s">
        <v>23</v>
      </c>
      <c r="P176" s="1" t="s">
        <v>508</v>
      </c>
      <c r="Q176" s="1">
        <f>31-613491015</f>
        <v>-613490984</v>
      </c>
      <c r="R176" s="1">
        <v>2013</v>
      </c>
    </row>
    <row r="177" spans="1:20" ht="15" customHeight="1" x14ac:dyDescent="0.25">
      <c r="A177" s="4" t="s">
        <v>15</v>
      </c>
      <c r="B177" s="1">
        <v>4279743</v>
      </c>
      <c r="C177" s="35" t="s">
        <v>5920</v>
      </c>
      <c r="D177" s="29" t="s">
        <v>521</v>
      </c>
      <c r="E177" s="1" t="s">
        <v>522</v>
      </c>
      <c r="F177" s="1" t="s">
        <v>218</v>
      </c>
      <c r="G177" s="4" t="s">
        <v>5576</v>
      </c>
      <c r="H177" s="4" t="s">
        <v>5715</v>
      </c>
      <c r="I177" s="4" t="s">
        <v>5671</v>
      </c>
      <c r="J177" s="2">
        <v>34849</v>
      </c>
      <c r="K177" s="1" t="s">
        <v>19</v>
      </c>
      <c r="L177" s="1" t="s">
        <v>20</v>
      </c>
      <c r="M177" s="1" t="s">
        <v>523</v>
      </c>
      <c r="N177" s="1" t="s">
        <v>524</v>
      </c>
      <c r="O177" s="1" t="s">
        <v>23</v>
      </c>
      <c r="P177" s="1" t="s">
        <v>525</v>
      </c>
      <c r="Q177" s="1">
        <f>31-624539310</f>
        <v>-624539279</v>
      </c>
      <c r="R177" s="1">
        <v>2013</v>
      </c>
    </row>
    <row r="178" spans="1:20" ht="15" customHeight="1" x14ac:dyDescent="0.25">
      <c r="A178" s="4" t="s">
        <v>15</v>
      </c>
      <c r="B178" s="1">
        <v>4288009</v>
      </c>
      <c r="C178" s="35" t="s">
        <v>5922</v>
      </c>
      <c r="D178" s="29" t="s">
        <v>561</v>
      </c>
      <c r="E178" s="1" t="s">
        <v>562</v>
      </c>
      <c r="F178" s="1" t="s">
        <v>563</v>
      </c>
      <c r="G178" s="4" t="s">
        <v>5576</v>
      </c>
      <c r="H178" s="4" t="s">
        <v>5715</v>
      </c>
      <c r="I178" s="4" t="s">
        <v>5671</v>
      </c>
      <c r="J178" s="2">
        <v>34654</v>
      </c>
      <c r="K178" s="1" t="s">
        <v>19</v>
      </c>
      <c r="L178" s="1" t="s">
        <v>111</v>
      </c>
      <c r="M178" s="1" t="s">
        <v>564</v>
      </c>
      <c r="N178" s="1" t="s">
        <v>565</v>
      </c>
      <c r="O178" s="1" t="s">
        <v>23</v>
      </c>
      <c r="P178" s="1" t="s">
        <v>566</v>
      </c>
      <c r="R178" s="1">
        <v>2013</v>
      </c>
    </row>
    <row r="179" spans="1:20" ht="15" customHeight="1" x14ac:dyDescent="0.25">
      <c r="A179" s="4" t="s">
        <v>15</v>
      </c>
      <c r="B179" s="1">
        <v>4310780</v>
      </c>
      <c r="C179" s="35" t="s">
        <v>5923</v>
      </c>
      <c r="D179" s="29" t="s">
        <v>532</v>
      </c>
      <c r="E179" s="1" t="s">
        <v>533</v>
      </c>
      <c r="F179" s="1" t="s">
        <v>130</v>
      </c>
      <c r="G179" s="4" t="s">
        <v>5576</v>
      </c>
      <c r="H179" s="4" t="s">
        <v>5715</v>
      </c>
      <c r="I179" s="4" t="s">
        <v>5671</v>
      </c>
      <c r="J179" s="2">
        <v>34868</v>
      </c>
      <c r="K179" s="1" t="s">
        <v>19</v>
      </c>
      <c r="L179" s="1" t="s">
        <v>20</v>
      </c>
      <c r="M179" s="1" t="s">
        <v>534</v>
      </c>
      <c r="N179" s="1" t="s">
        <v>535</v>
      </c>
      <c r="O179" s="1" t="s">
        <v>23</v>
      </c>
      <c r="P179" s="1" t="s">
        <v>536</v>
      </c>
      <c r="Q179" s="1">
        <f>31-619407748</f>
        <v>-619407717</v>
      </c>
      <c r="R179" s="1">
        <v>2013</v>
      </c>
    </row>
    <row r="180" spans="1:20" ht="15" customHeight="1" x14ac:dyDescent="0.25">
      <c r="A180" s="4" t="s">
        <v>15</v>
      </c>
      <c r="B180" s="1">
        <v>4295617</v>
      </c>
      <c r="C180" s="35" t="s">
        <v>5924</v>
      </c>
      <c r="D180" s="29" t="s">
        <v>549</v>
      </c>
      <c r="E180" s="1" t="s">
        <v>550</v>
      </c>
      <c r="F180" s="1" t="s">
        <v>551</v>
      </c>
      <c r="G180" s="4" t="s">
        <v>5576</v>
      </c>
      <c r="H180" s="4" t="s">
        <v>5715</v>
      </c>
      <c r="I180" s="4" t="s">
        <v>5671</v>
      </c>
      <c r="J180" s="2">
        <v>34963</v>
      </c>
      <c r="K180" s="1" t="s">
        <v>19</v>
      </c>
      <c r="L180" s="1" t="s">
        <v>20</v>
      </c>
      <c r="M180" s="1" t="s">
        <v>552</v>
      </c>
      <c r="N180" s="1" t="s">
        <v>553</v>
      </c>
      <c r="O180" s="1" t="s">
        <v>23</v>
      </c>
      <c r="P180" s="1" t="s">
        <v>554</v>
      </c>
      <c r="Q180" s="1">
        <f>31-649729039</f>
        <v>-649729008</v>
      </c>
      <c r="R180" s="1">
        <v>2013</v>
      </c>
    </row>
    <row r="181" spans="1:20" ht="15" customHeight="1" x14ac:dyDescent="0.25">
      <c r="A181" s="4" t="s">
        <v>15</v>
      </c>
      <c r="B181" s="1">
        <v>4152506</v>
      </c>
      <c r="C181" s="35" t="s">
        <v>5925</v>
      </c>
      <c r="D181" s="29" t="s">
        <v>567</v>
      </c>
      <c r="E181" s="1" t="s">
        <v>568</v>
      </c>
      <c r="F181" s="1" t="s">
        <v>569</v>
      </c>
      <c r="G181" s="4" t="s">
        <v>5577</v>
      </c>
      <c r="H181" s="4" t="s">
        <v>5715</v>
      </c>
      <c r="I181" s="4" t="s">
        <v>5672</v>
      </c>
      <c r="J181" s="2">
        <v>33853</v>
      </c>
      <c r="K181" s="1" t="s">
        <v>19</v>
      </c>
      <c r="L181" s="1" t="s">
        <v>20</v>
      </c>
      <c r="M181" s="1" t="s">
        <v>570</v>
      </c>
      <c r="N181" s="1" t="s">
        <v>571</v>
      </c>
      <c r="O181" s="1" t="s">
        <v>23</v>
      </c>
      <c r="P181" s="1" t="s">
        <v>572</v>
      </c>
      <c r="Q181" s="1">
        <f>31-652482019</f>
        <v>-652481988</v>
      </c>
      <c r="R181" s="1">
        <v>2011</v>
      </c>
      <c r="S181" s="1" t="s">
        <v>88</v>
      </c>
    </row>
    <row r="182" spans="1:20" ht="15" customHeight="1" x14ac:dyDescent="0.25">
      <c r="A182" s="4" t="s">
        <v>15</v>
      </c>
      <c r="B182" s="1">
        <v>4224655</v>
      </c>
      <c r="C182" s="35" t="s">
        <v>5926</v>
      </c>
      <c r="D182" s="29" t="s">
        <v>573</v>
      </c>
      <c r="E182" s="1" t="s">
        <v>574</v>
      </c>
      <c r="F182" s="1" t="s">
        <v>575</v>
      </c>
      <c r="G182" s="4" t="s">
        <v>5577</v>
      </c>
      <c r="H182" s="4" t="s">
        <v>5715</v>
      </c>
      <c r="I182" s="4" t="s">
        <v>5672</v>
      </c>
      <c r="J182" s="2">
        <v>34288</v>
      </c>
      <c r="K182" s="1" t="s">
        <v>19</v>
      </c>
      <c r="L182" s="1" t="s">
        <v>20</v>
      </c>
      <c r="R182" s="1">
        <v>2013</v>
      </c>
      <c r="T182" s="1" t="s">
        <v>5217</v>
      </c>
    </row>
    <row r="183" spans="1:20" ht="15" customHeight="1" x14ac:dyDescent="0.25">
      <c r="A183" s="4" t="s">
        <v>15</v>
      </c>
      <c r="B183" s="1">
        <v>4304160</v>
      </c>
      <c r="C183" s="35" t="s">
        <v>5927</v>
      </c>
      <c r="D183" s="29" t="s">
        <v>576</v>
      </c>
      <c r="E183" s="1" t="s">
        <v>577</v>
      </c>
      <c r="F183" s="1" t="s">
        <v>578</v>
      </c>
      <c r="G183" s="4" t="s">
        <v>5577</v>
      </c>
      <c r="H183" s="4" t="s">
        <v>5715</v>
      </c>
      <c r="I183" s="4" t="s">
        <v>5672</v>
      </c>
      <c r="J183" s="2">
        <v>34957</v>
      </c>
      <c r="K183" s="1" t="s">
        <v>579</v>
      </c>
      <c r="L183" s="1" t="s">
        <v>20</v>
      </c>
      <c r="M183" s="1" t="s">
        <v>580</v>
      </c>
      <c r="N183" s="1" t="s">
        <v>581</v>
      </c>
      <c r="O183" s="1" t="s">
        <v>23</v>
      </c>
      <c r="P183" s="1" t="s">
        <v>582</v>
      </c>
      <c r="Q183" s="1">
        <f>31-612595837</f>
        <v>-612595806</v>
      </c>
      <c r="R183" s="1">
        <v>2013</v>
      </c>
    </row>
    <row r="184" spans="1:20" ht="15" customHeight="1" x14ac:dyDescent="0.25">
      <c r="A184" s="4" t="s">
        <v>15</v>
      </c>
      <c r="B184" s="1">
        <v>4294181</v>
      </c>
      <c r="C184" s="35" t="s">
        <v>5928</v>
      </c>
      <c r="D184" s="29" t="s">
        <v>589</v>
      </c>
      <c r="E184" s="1" t="s">
        <v>590</v>
      </c>
      <c r="F184" s="1" t="s">
        <v>591</v>
      </c>
      <c r="G184" s="4" t="s">
        <v>5577</v>
      </c>
      <c r="H184" s="4" t="s">
        <v>5715</v>
      </c>
      <c r="I184" s="4" t="s">
        <v>5672</v>
      </c>
      <c r="J184" s="2">
        <v>34631</v>
      </c>
      <c r="K184" s="1" t="s">
        <v>19</v>
      </c>
      <c r="L184" s="1" t="s">
        <v>20</v>
      </c>
      <c r="M184" s="1" t="s">
        <v>592</v>
      </c>
      <c r="N184" s="1" t="s">
        <v>593</v>
      </c>
      <c r="O184" s="1" t="s">
        <v>23</v>
      </c>
      <c r="P184" s="1" t="s">
        <v>594</v>
      </c>
      <c r="Q184" s="1">
        <f>31-636215523</f>
        <v>-636215492</v>
      </c>
      <c r="R184" s="1">
        <v>2013</v>
      </c>
    </row>
    <row r="185" spans="1:20" ht="15" customHeight="1" x14ac:dyDescent="0.25">
      <c r="A185" s="4" t="s">
        <v>15</v>
      </c>
      <c r="B185" s="1">
        <v>4331451</v>
      </c>
      <c r="C185" s="35" t="s">
        <v>5929</v>
      </c>
      <c r="D185" s="29" t="s">
        <v>595</v>
      </c>
      <c r="E185" s="1" t="s">
        <v>596</v>
      </c>
      <c r="F185" s="1" t="s">
        <v>597</v>
      </c>
      <c r="G185" s="4" t="s">
        <v>5577</v>
      </c>
      <c r="H185" s="4" t="s">
        <v>5715</v>
      </c>
      <c r="I185" s="4" t="s">
        <v>5672</v>
      </c>
      <c r="J185" s="2">
        <v>34252</v>
      </c>
      <c r="K185" s="1" t="s">
        <v>19</v>
      </c>
      <c r="L185" s="1" t="s">
        <v>20</v>
      </c>
      <c r="M185" s="1" t="s">
        <v>598</v>
      </c>
      <c r="N185" s="1" t="s">
        <v>599</v>
      </c>
      <c r="O185" s="1" t="s">
        <v>23</v>
      </c>
      <c r="P185" s="1" t="s">
        <v>600</v>
      </c>
      <c r="Q185" s="1">
        <f>31-637286588</f>
        <v>-637286557</v>
      </c>
      <c r="R185" s="1">
        <v>2013</v>
      </c>
    </row>
    <row r="186" spans="1:20" ht="15" customHeight="1" x14ac:dyDescent="0.25">
      <c r="A186" s="4" t="s">
        <v>15</v>
      </c>
      <c r="B186" s="1">
        <v>4297806</v>
      </c>
      <c r="C186" s="35" t="s">
        <v>5930</v>
      </c>
      <c r="D186" s="29" t="s">
        <v>607</v>
      </c>
      <c r="E186" s="1" t="s">
        <v>608</v>
      </c>
      <c r="F186" s="1" t="s">
        <v>609</v>
      </c>
      <c r="G186" s="4" t="s">
        <v>5577</v>
      </c>
      <c r="H186" s="4" t="s">
        <v>5715</v>
      </c>
      <c r="I186" s="4" t="s">
        <v>5672</v>
      </c>
      <c r="J186" s="2">
        <v>34381</v>
      </c>
      <c r="K186" s="1" t="s">
        <v>19</v>
      </c>
      <c r="L186" s="1" t="s">
        <v>20</v>
      </c>
      <c r="M186" s="1" t="s">
        <v>610</v>
      </c>
      <c r="N186" s="1" t="s">
        <v>611</v>
      </c>
      <c r="O186" s="1" t="s">
        <v>23</v>
      </c>
      <c r="P186" s="1" t="s">
        <v>612</v>
      </c>
      <c r="Q186" s="1">
        <f>31-639210908</f>
        <v>-639210877</v>
      </c>
      <c r="R186" s="1">
        <v>2013</v>
      </c>
    </row>
    <row r="187" spans="1:20" ht="15" customHeight="1" x14ac:dyDescent="0.25">
      <c r="A187" s="4" t="s">
        <v>15</v>
      </c>
      <c r="B187" s="1">
        <v>4309820</v>
      </c>
      <c r="C187" s="35" t="s">
        <v>5931</v>
      </c>
      <c r="D187" s="29" t="s">
        <v>619</v>
      </c>
      <c r="E187" s="1" t="s">
        <v>620</v>
      </c>
      <c r="F187" s="1" t="s">
        <v>301</v>
      </c>
      <c r="G187" s="4" t="s">
        <v>5577</v>
      </c>
      <c r="H187" s="4" t="s">
        <v>5715</v>
      </c>
      <c r="I187" s="4" t="s">
        <v>5672</v>
      </c>
      <c r="J187" s="2">
        <v>34464</v>
      </c>
      <c r="K187" s="1" t="s">
        <v>19</v>
      </c>
      <c r="L187" s="1" t="s">
        <v>20</v>
      </c>
      <c r="M187" s="1" t="s">
        <v>621</v>
      </c>
      <c r="N187" s="1" t="s">
        <v>622</v>
      </c>
      <c r="O187" s="1" t="s">
        <v>23</v>
      </c>
      <c r="P187" s="1" t="s">
        <v>623</v>
      </c>
      <c r="Q187" s="1">
        <f>31-610469484</f>
        <v>-610469453</v>
      </c>
      <c r="R187" s="1">
        <v>2013</v>
      </c>
    </row>
    <row r="188" spans="1:20" ht="15" customHeight="1" x14ac:dyDescent="0.25">
      <c r="A188" s="4" t="s">
        <v>15</v>
      </c>
      <c r="B188" s="1">
        <v>4315243</v>
      </c>
      <c r="C188" s="35" t="s">
        <v>5932</v>
      </c>
      <c r="D188" s="29" t="s">
        <v>624</v>
      </c>
      <c r="E188" s="1" t="s">
        <v>625</v>
      </c>
      <c r="F188" s="1" t="s">
        <v>34</v>
      </c>
      <c r="G188" s="4" t="s">
        <v>5577</v>
      </c>
      <c r="H188" s="4" t="s">
        <v>5715</v>
      </c>
      <c r="I188" s="4" t="s">
        <v>5672</v>
      </c>
      <c r="J188" s="2">
        <v>34932</v>
      </c>
      <c r="K188" s="1" t="s">
        <v>19</v>
      </c>
      <c r="L188" s="1" t="s">
        <v>20</v>
      </c>
      <c r="M188" s="1" t="s">
        <v>626</v>
      </c>
      <c r="N188" s="1" t="s">
        <v>627</v>
      </c>
      <c r="O188" s="1" t="s">
        <v>23</v>
      </c>
      <c r="P188" s="1" t="s">
        <v>628</v>
      </c>
      <c r="Q188" s="1">
        <f>31-681176647</f>
        <v>-681176616</v>
      </c>
      <c r="R188" s="1">
        <v>2013</v>
      </c>
    </row>
    <row r="189" spans="1:20" ht="15" customHeight="1" x14ac:dyDescent="0.25">
      <c r="A189" s="4" t="s">
        <v>15</v>
      </c>
      <c r="B189" s="1">
        <v>4190971</v>
      </c>
      <c r="C189" s="35" t="s">
        <v>5933</v>
      </c>
      <c r="D189" s="29" t="s">
        <v>629</v>
      </c>
      <c r="E189" s="1" t="s">
        <v>630</v>
      </c>
      <c r="F189" s="1" t="s">
        <v>631</v>
      </c>
      <c r="G189" s="4" t="s">
        <v>5577</v>
      </c>
      <c r="H189" s="4" t="s">
        <v>5715</v>
      </c>
      <c r="I189" s="4" t="s">
        <v>5672</v>
      </c>
      <c r="J189" s="2">
        <v>32784</v>
      </c>
      <c r="K189" s="1" t="s">
        <v>19</v>
      </c>
      <c r="L189" s="1" t="s">
        <v>20</v>
      </c>
      <c r="M189" s="1" t="s">
        <v>632</v>
      </c>
      <c r="N189" s="1" t="s">
        <v>633</v>
      </c>
      <c r="O189" s="1" t="s">
        <v>23</v>
      </c>
      <c r="P189" s="1" t="s">
        <v>634</v>
      </c>
      <c r="Q189" s="1">
        <f>31-643939228</f>
        <v>-643939197</v>
      </c>
      <c r="R189" s="1">
        <v>2011</v>
      </c>
      <c r="S189" s="1" t="s">
        <v>5231</v>
      </c>
    </row>
    <row r="190" spans="1:20" ht="15" customHeight="1" x14ac:dyDescent="0.25">
      <c r="A190" s="4" t="s">
        <v>15</v>
      </c>
      <c r="B190" s="1">
        <v>4253310</v>
      </c>
      <c r="C190" s="35" t="s">
        <v>5934</v>
      </c>
      <c r="D190" s="29" t="s">
        <v>659</v>
      </c>
      <c r="E190" s="1" t="s">
        <v>660</v>
      </c>
      <c r="F190" s="1" t="s">
        <v>661</v>
      </c>
      <c r="G190" s="4" t="s">
        <v>5578</v>
      </c>
      <c r="H190" s="4" t="s">
        <v>5715</v>
      </c>
      <c r="I190" s="4" t="s">
        <v>5672</v>
      </c>
      <c r="J190" s="2">
        <v>34322</v>
      </c>
      <c r="K190" s="1" t="s">
        <v>19</v>
      </c>
      <c r="L190" s="1" t="s">
        <v>20</v>
      </c>
      <c r="M190" s="1" t="s">
        <v>662</v>
      </c>
      <c r="N190" s="1" t="s">
        <v>663</v>
      </c>
      <c r="O190" s="1" t="s">
        <v>23</v>
      </c>
      <c r="P190" s="1" t="s">
        <v>664</v>
      </c>
      <c r="Q190" s="1">
        <f>31-620932242</f>
        <v>-620932211</v>
      </c>
      <c r="R190" s="1">
        <v>2012</v>
      </c>
      <c r="S190" s="1" t="s">
        <v>115</v>
      </c>
    </row>
    <row r="191" spans="1:20" ht="15" customHeight="1" x14ac:dyDescent="0.25">
      <c r="A191" s="4" t="s">
        <v>15</v>
      </c>
      <c r="B191" s="1">
        <v>4276175</v>
      </c>
      <c r="C191" s="35" t="s">
        <v>5935</v>
      </c>
      <c r="D191" s="29" t="s">
        <v>665</v>
      </c>
      <c r="E191" s="1" t="s">
        <v>666</v>
      </c>
      <c r="F191" s="1" t="s">
        <v>667</v>
      </c>
      <c r="G191" s="4" t="s">
        <v>5578</v>
      </c>
      <c r="H191" s="4" t="s">
        <v>5715</v>
      </c>
      <c r="I191" s="4" t="s">
        <v>5672</v>
      </c>
      <c r="J191" s="2">
        <v>34890</v>
      </c>
      <c r="K191" s="1" t="s">
        <v>19</v>
      </c>
      <c r="L191" s="1" t="s">
        <v>20</v>
      </c>
      <c r="M191" s="1" t="s">
        <v>668</v>
      </c>
      <c r="O191" s="1" t="s">
        <v>669</v>
      </c>
      <c r="P191" s="1" t="s">
        <v>670</v>
      </c>
      <c r="Q191" s="1">
        <f>599-5102746</f>
        <v>-5102147</v>
      </c>
      <c r="R191" s="1">
        <v>2013</v>
      </c>
    </row>
    <row r="192" spans="1:20" ht="15" customHeight="1" x14ac:dyDescent="0.25">
      <c r="A192" s="4" t="s">
        <v>15</v>
      </c>
      <c r="B192" s="1">
        <v>4304209</v>
      </c>
      <c r="C192" s="35" t="s">
        <v>5936</v>
      </c>
      <c r="D192" s="29" t="s">
        <v>46</v>
      </c>
      <c r="E192" s="1" t="s">
        <v>734</v>
      </c>
      <c r="F192" s="1" t="s">
        <v>735</v>
      </c>
      <c r="G192" s="4" t="s">
        <v>5578</v>
      </c>
      <c r="H192" s="4" t="s">
        <v>5715</v>
      </c>
      <c r="I192" s="4" t="s">
        <v>5672</v>
      </c>
      <c r="J192" s="2">
        <v>35008</v>
      </c>
      <c r="K192" s="1" t="s">
        <v>19</v>
      </c>
      <c r="L192" s="1" t="s">
        <v>111</v>
      </c>
      <c r="M192" s="1" t="s">
        <v>736</v>
      </c>
      <c r="N192" s="1" t="s">
        <v>737</v>
      </c>
      <c r="O192" s="1" t="s">
        <v>23</v>
      </c>
      <c r="P192" s="1" t="s">
        <v>738</v>
      </c>
      <c r="Q192" s="1">
        <f>31-612788565</f>
        <v>-612788534</v>
      </c>
      <c r="R192" s="1">
        <v>2013</v>
      </c>
    </row>
    <row r="193" spans="1:19" ht="15" customHeight="1" x14ac:dyDescent="0.25">
      <c r="A193" s="4" t="s">
        <v>15</v>
      </c>
      <c r="B193" s="1">
        <v>4280989</v>
      </c>
      <c r="C193" s="35" t="s">
        <v>5937</v>
      </c>
      <c r="D193" s="29" t="s">
        <v>676</v>
      </c>
      <c r="E193" s="1" t="s">
        <v>677</v>
      </c>
      <c r="F193" s="1" t="s">
        <v>678</v>
      </c>
      <c r="G193" s="4" t="s">
        <v>5578</v>
      </c>
      <c r="H193" s="4" t="s">
        <v>5715</v>
      </c>
      <c r="I193" s="4" t="s">
        <v>5672</v>
      </c>
      <c r="J193" s="2">
        <v>34851</v>
      </c>
      <c r="K193" s="1" t="s">
        <v>19</v>
      </c>
      <c r="L193" s="1" t="s">
        <v>20</v>
      </c>
      <c r="M193" s="1" t="s">
        <v>679</v>
      </c>
      <c r="N193" s="1" t="s">
        <v>680</v>
      </c>
      <c r="O193" s="1" t="s">
        <v>23</v>
      </c>
      <c r="P193" s="1" t="s">
        <v>681</v>
      </c>
      <c r="Q193" s="1">
        <f>31-629338894</f>
        <v>-629338863</v>
      </c>
      <c r="R193" s="1">
        <v>2013</v>
      </c>
    </row>
    <row r="194" spans="1:19" ht="15" customHeight="1" x14ac:dyDescent="0.25">
      <c r="A194" s="4" t="s">
        <v>15</v>
      </c>
      <c r="B194" s="1">
        <v>4285255</v>
      </c>
      <c r="C194" s="35" t="s">
        <v>5938</v>
      </c>
      <c r="D194" s="29" t="s">
        <v>688</v>
      </c>
      <c r="E194" s="1" t="s">
        <v>689</v>
      </c>
      <c r="F194" s="1" t="s">
        <v>690</v>
      </c>
      <c r="G194" s="4" t="s">
        <v>5578</v>
      </c>
      <c r="H194" s="4" t="s">
        <v>5715</v>
      </c>
      <c r="I194" s="4" t="s">
        <v>5672</v>
      </c>
      <c r="J194" s="2">
        <v>34650</v>
      </c>
      <c r="K194" s="1" t="s">
        <v>19</v>
      </c>
      <c r="L194" s="1" t="s">
        <v>20</v>
      </c>
      <c r="M194" s="1" t="s">
        <v>691</v>
      </c>
      <c r="N194" s="1" t="s">
        <v>692</v>
      </c>
      <c r="O194" s="1" t="s">
        <v>23</v>
      </c>
      <c r="P194" s="1" t="s">
        <v>693</v>
      </c>
      <c r="Q194" s="1">
        <f>31-625149451</f>
        <v>-625149420</v>
      </c>
      <c r="R194" s="1">
        <v>2013</v>
      </c>
    </row>
    <row r="195" spans="1:19" ht="15" customHeight="1" x14ac:dyDescent="0.25">
      <c r="A195" s="4" t="s">
        <v>15</v>
      </c>
      <c r="B195" s="1">
        <v>4296567</v>
      </c>
      <c r="C195" s="35" t="s">
        <v>5939</v>
      </c>
      <c r="D195" s="29" t="s">
        <v>700</v>
      </c>
      <c r="E195" s="1" t="s">
        <v>701</v>
      </c>
      <c r="F195" s="1" t="s">
        <v>68</v>
      </c>
      <c r="G195" s="4" t="s">
        <v>5578</v>
      </c>
      <c r="H195" s="4" t="s">
        <v>5715</v>
      </c>
      <c r="I195" s="4" t="s">
        <v>5672</v>
      </c>
      <c r="J195" s="2">
        <v>34764</v>
      </c>
      <c r="K195" s="1" t="s">
        <v>19</v>
      </c>
      <c r="L195" s="1" t="s">
        <v>20</v>
      </c>
      <c r="M195" s="1" t="s">
        <v>702</v>
      </c>
      <c r="N195" s="1" t="s">
        <v>703</v>
      </c>
      <c r="O195" s="1" t="s">
        <v>23</v>
      </c>
      <c r="P195" s="1" t="s">
        <v>704</v>
      </c>
      <c r="Q195" s="1">
        <f>31-643691105</f>
        <v>-643691074</v>
      </c>
      <c r="R195" s="1">
        <v>2013</v>
      </c>
    </row>
    <row r="196" spans="1:19" ht="15" customHeight="1" x14ac:dyDescent="0.25">
      <c r="A196" s="4" t="s">
        <v>15</v>
      </c>
      <c r="B196" s="1">
        <v>4281780</v>
      </c>
      <c r="C196" s="35" t="s">
        <v>5940</v>
      </c>
      <c r="D196" s="29" t="s">
        <v>716</v>
      </c>
      <c r="E196" s="1" t="s">
        <v>717</v>
      </c>
      <c r="F196" s="1" t="s">
        <v>718</v>
      </c>
      <c r="G196" s="4" t="s">
        <v>5578</v>
      </c>
      <c r="H196" s="4" t="s">
        <v>5715</v>
      </c>
      <c r="I196" s="4" t="s">
        <v>5672</v>
      </c>
      <c r="J196" s="2">
        <v>34794</v>
      </c>
      <c r="K196" s="1" t="s">
        <v>19</v>
      </c>
      <c r="L196" s="1" t="s">
        <v>20</v>
      </c>
      <c r="M196" s="1" t="s">
        <v>719</v>
      </c>
      <c r="N196" s="1" t="s">
        <v>720</v>
      </c>
      <c r="O196" s="1" t="s">
        <v>23</v>
      </c>
      <c r="P196" s="1" t="s">
        <v>721</v>
      </c>
      <c r="Q196" s="1">
        <f>31-639432281</f>
        <v>-639432250</v>
      </c>
      <c r="R196" s="1">
        <v>2013</v>
      </c>
    </row>
    <row r="197" spans="1:19" ht="15" customHeight="1" x14ac:dyDescent="0.25">
      <c r="A197" s="4" t="s">
        <v>15</v>
      </c>
      <c r="B197" s="1">
        <v>4310446</v>
      </c>
      <c r="C197" s="35" t="s">
        <v>5941</v>
      </c>
      <c r="D197" s="29" t="s">
        <v>722</v>
      </c>
      <c r="E197" s="1" t="s">
        <v>723</v>
      </c>
      <c r="F197" s="1" t="s">
        <v>724</v>
      </c>
      <c r="G197" s="4" t="s">
        <v>5578</v>
      </c>
      <c r="H197" s="4" t="s">
        <v>5715</v>
      </c>
      <c r="I197" s="4" t="s">
        <v>5672</v>
      </c>
      <c r="J197" s="2">
        <v>34321</v>
      </c>
      <c r="K197" s="1" t="s">
        <v>19</v>
      </c>
      <c r="L197" s="1" t="s">
        <v>20</v>
      </c>
      <c r="M197" s="1" t="s">
        <v>725</v>
      </c>
      <c r="N197" s="1" t="s">
        <v>726</v>
      </c>
      <c r="O197" s="1" t="s">
        <v>23</v>
      </c>
      <c r="P197" s="1" t="s">
        <v>727</v>
      </c>
      <c r="Q197" s="1">
        <f>31-636096717</f>
        <v>-636096686</v>
      </c>
      <c r="R197" s="1">
        <v>2013</v>
      </c>
    </row>
    <row r="198" spans="1:19" ht="15" customHeight="1" x14ac:dyDescent="0.25">
      <c r="A198" s="4" t="s">
        <v>15</v>
      </c>
      <c r="B198" s="1">
        <v>4312996</v>
      </c>
      <c r="C198" s="35" t="s">
        <v>5942</v>
      </c>
      <c r="D198" s="29" t="s">
        <v>752</v>
      </c>
      <c r="E198" s="1" t="s">
        <v>753</v>
      </c>
      <c r="F198" s="1" t="s">
        <v>754</v>
      </c>
      <c r="G198" s="4" t="s">
        <v>5579</v>
      </c>
      <c r="H198" s="4" t="s">
        <v>5715</v>
      </c>
      <c r="I198" s="4" t="s">
        <v>5673</v>
      </c>
      <c r="J198" s="2">
        <v>34799</v>
      </c>
      <c r="K198" s="1" t="s">
        <v>19</v>
      </c>
      <c r="L198" s="1" t="s">
        <v>20</v>
      </c>
      <c r="M198" s="1" t="s">
        <v>755</v>
      </c>
      <c r="N198" s="1" t="s">
        <v>756</v>
      </c>
      <c r="O198" s="1" t="s">
        <v>23</v>
      </c>
      <c r="P198" s="1" t="s">
        <v>757</v>
      </c>
      <c r="Q198" s="1">
        <f>31-657322496</f>
        <v>-657322465</v>
      </c>
      <c r="R198" s="1">
        <v>2013</v>
      </c>
    </row>
    <row r="199" spans="1:19" ht="15" customHeight="1" x14ac:dyDescent="0.25">
      <c r="A199" s="4" t="s">
        <v>15</v>
      </c>
      <c r="B199" s="1">
        <v>4280725</v>
      </c>
      <c r="C199" s="35" t="s">
        <v>5943</v>
      </c>
      <c r="D199" s="29" t="s">
        <v>3851</v>
      </c>
      <c r="E199" s="1" t="s">
        <v>3852</v>
      </c>
      <c r="F199" s="1" t="s">
        <v>34</v>
      </c>
      <c r="G199" s="4" t="s">
        <v>5579</v>
      </c>
      <c r="H199" s="4" t="s">
        <v>5715</v>
      </c>
      <c r="I199" s="4" t="s">
        <v>5673</v>
      </c>
      <c r="J199" s="2">
        <v>34821</v>
      </c>
      <c r="K199" s="1" t="s">
        <v>19</v>
      </c>
      <c r="L199" s="1" t="s">
        <v>20</v>
      </c>
      <c r="M199" s="1" t="s">
        <v>3853</v>
      </c>
      <c r="N199" s="1" t="s">
        <v>3854</v>
      </c>
      <c r="O199" s="1" t="s">
        <v>23</v>
      </c>
      <c r="P199" s="1" t="s">
        <v>3855</v>
      </c>
      <c r="Q199" s="1">
        <f>31-614403239</f>
        <v>-614403208</v>
      </c>
      <c r="R199" s="1">
        <v>2013</v>
      </c>
    </row>
    <row r="200" spans="1:19" ht="15" customHeight="1" x14ac:dyDescent="0.25">
      <c r="A200" s="4" t="s">
        <v>15</v>
      </c>
      <c r="B200" s="1">
        <v>4276361</v>
      </c>
      <c r="C200" s="35" t="s">
        <v>5944</v>
      </c>
      <c r="D200" s="29" t="s">
        <v>763</v>
      </c>
      <c r="E200" s="1" t="s">
        <v>764</v>
      </c>
      <c r="F200" s="1" t="s">
        <v>765</v>
      </c>
      <c r="G200" s="4" t="s">
        <v>5579</v>
      </c>
      <c r="H200" s="4" t="s">
        <v>5715</v>
      </c>
      <c r="I200" s="4" t="s">
        <v>5673</v>
      </c>
      <c r="J200" s="2">
        <v>34629</v>
      </c>
      <c r="K200" s="1" t="s">
        <v>19</v>
      </c>
      <c r="L200" s="1" t="s">
        <v>20</v>
      </c>
      <c r="M200" s="1" t="s">
        <v>766</v>
      </c>
      <c r="N200" s="1" t="s">
        <v>767</v>
      </c>
      <c r="O200" s="1" t="s">
        <v>23</v>
      </c>
      <c r="P200" s="1" t="s">
        <v>768</v>
      </c>
      <c r="Q200" s="1">
        <f>31-634334955</f>
        <v>-634334924</v>
      </c>
      <c r="R200" s="1">
        <v>2013</v>
      </c>
    </row>
    <row r="201" spans="1:19" ht="15" customHeight="1" x14ac:dyDescent="0.25">
      <c r="A201" s="4" t="s">
        <v>15</v>
      </c>
      <c r="B201" s="1">
        <v>4275217</v>
      </c>
      <c r="C201" s="35" t="s">
        <v>5945</v>
      </c>
      <c r="D201" s="29" t="s">
        <v>4058</v>
      </c>
      <c r="E201" s="1" t="s">
        <v>4059</v>
      </c>
      <c r="F201" s="1" t="s">
        <v>4060</v>
      </c>
      <c r="G201" s="4" t="s">
        <v>5579</v>
      </c>
      <c r="H201" s="4" t="s">
        <v>5715</v>
      </c>
      <c r="I201" s="4" t="s">
        <v>5673</v>
      </c>
      <c r="J201" s="2">
        <v>34741</v>
      </c>
      <c r="K201" s="1" t="s">
        <v>19</v>
      </c>
      <c r="L201" s="1" t="s">
        <v>20</v>
      </c>
      <c r="M201" s="1" t="s">
        <v>4061</v>
      </c>
      <c r="N201" s="1" t="s">
        <v>4062</v>
      </c>
      <c r="O201" s="1" t="s">
        <v>23</v>
      </c>
      <c r="P201" s="1" t="s">
        <v>4063</v>
      </c>
      <c r="Q201" s="1">
        <f>31-613870144</f>
        <v>-613870113</v>
      </c>
      <c r="R201" s="1">
        <v>2013</v>
      </c>
    </row>
    <row r="202" spans="1:19" ht="15" customHeight="1" x14ac:dyDescent="0.25">
      <c r="A202" s="4" t="s">
        <v>15</v>
      </c>
      <c r="B202" s="1">
        <v>4207084</v>
      </c>
      <c r="C202" s="35" t="s">
        <v>5946</v>
      </c>
      <c r="D202" s="29" t="s">
        <v>4247</v>
      </c>
      <c r="E202" s="1" t="s">
        <v>4248</v>
      </c>
      <c r="F202" s="1" t="s">
        <v>4249</v>
      </c>
      <c r="G202" s="4" t="s">
        <v>5579</v>
      </c>
      <c r="H202" s="4" t="s">
        <v>5715</v>
      </c>
      <c r="I202" s="4" t="s">
        <v>5673</v>
      </c>
      <c r="J202" s="2">
        <v>34670</v>
      </c>
      <c r="K202" s="1" t="s">
        <v>19</v>
      </c>
      <c r="L202" s="1" t="s">
        <v>20</v>
      </c>
      <c r="M202" s="1" t="s">
        <v>4250</v>
      </c>
      <c r="N202" s="1" t="s">
        <v>4251</v>
      </c>
      <c r="O202" s="1" t="s">
        <v>23</v>
      </c>
      <c r="P202" s="1" t="s">
        <v>4252</v>
      </c>
      <c r="Q202" s="1">
        <f>31-624216084</f>
        <v>-624216053</v>
      </c>
      <c r="R202" s="1">
        <v>2012</v>
      </c>
      <c r="S202" s="1" t="s">
        <v>88</v>
      </c>
    </row>
    <row r="203" spans="1:19" ht="15" customHeight="1" x14ac:dyDescent="0.25">
      <c r="A203" s="4" t="s">
        <v>15</v>
      </c>
      <c r="B203" s="1">
        <v>4273109</v>
      </c>
      <c r="C203" s="35" t="s">
        <v>5947</v>
      </c>
      <c r="D203" s="29" t="s">
        <v>792</v>
      </c>
      <c r="E203" s="1" t="s">
        <v>793</v>
      </c>
      <c r="F203" s="1" t="s">
        <v>794</v>
      </c>
      <c r="G203" s="4" t="s">
        <v>5579</v>
      </c>
      <c r="H203" s="4" t="s">
        <v>5715</v>
      </c>
      <c r="I203" s="4" t="s">
        <v>5673</v>
      </c>
      <c r="J203" s="2">
        <v>34973</v>
      </c>
      <c r="K203" s="1" t="s">
        <v>19</v>
      </c>
      <c r="L203" s="1" t="s">
        <v>20</v>
      </c>
      <c r="M203" s="1" t="s">
        <v>795</v>
      </c>
      <c r="O203" s="1" t="s">
        <v>669</v>
      </c>
      <c r="P203" s="1" t="s">
        <v>796</v>
      </c>
      <c r="Q203" s="1">
        <f>599-6726287</f>
        <v>-6725688</v>
      </c>
      <c r="R203" s="1">
        <v>2013</v>
      </c>
    </row>
    <row r="204" spans="1:19" ht="15" customHeight="1" x14ac:dyDescent="0.25">
      <c r="A204" s="4" t="s">
        <v>15</v>
      </c>
      <c r="B204" s="1">
        <v>4303466</v>
      </c>
      <c r="C204" s="35" t="s">
        <v>5948</v>
      </c>
      <c r="D204" s="29" t="s">
        <v>803</v>
      </c>
      <c r="E204" s="1" t="s">
        <v>804</v>
      </c>
      <c r="F204" s="1" t="s">
        <v>805</v>
      </c>
      <c r="G204" s="4" t="s">
        <v>5579</v>
      </c>
      <c r="H204" s="4" t="s">
        <v>5715</v>
      </c>
      <c r="I204" s="4" t="s">
        <v>5673</v>
      </c>
      <c r="J204" s="2">
        <v>34909</v>
      </c>
      <c r="K204" s="1" t="s">
        <v>19</v>
      </c>
      <c r="L204" s="1" t="s">
        <v>20</v>
      </c>
      <c r="M204" s="1" t="s">
        <v>806</v>
      </c>
      <c r="N204" s="1" t="s">
        <v>807</v>
      </c>
      <c r="O204" s="1" t="s">
        <v>23</v>
      </c>
      <c r="P204" s="1" t="s">
        <v>808</v>
      </c>
      <c r="Q204" s="1">
        <f>31-646612265</f>
        <v>-646612234</v>
      </c>
      <c r="R204" s="1">
        <v>2013</v>
      </c>
    </row>
    <row r="205" spans="1:19" ht="15" customHeight="1" x14ac:dyDescent="0.25">
      <c r="A205" s="4" t="s">
        <v>15</v>
      </c>
      <c r="B205" s="1">
        <v>4312309</v>
      </c>
      <c r="C205" s="35" t="s">
        <v>5949</v>
      </c>
      <c r="D205" s="29" t="s">
        <v>815</v>
      </c>
      <c r="E205" s="1" t="s">
        <v>816</v>
      </c>
      <c r="F205" s="1" t="s">
        <v>817</v>
      </c>
      <c r="G205" s="4" t="s">
        <v>5579</v>
      </c>
      <c r="H205" s="4" t="s">
        <v>5715</v>
      </c>
      <c r="I205" s="4" t="s">
        <v>5673</v>
      </c>
      <c r="J205" s="2">
        <v>35066</v>
      </c>
      <c r="K205" s="1" t="s">
        <v>19</v>
      </c>
      <c r="L205" s="1" t="s">
        <v>111</v>
      </c>
      <c r="M205" s="1" t="s">
        <v>818</v>
      </c>
      <c r="N205" s="1" t="s">
        <v>819</v>
      </c>
      <c r="O205" s="1" t="s">
        <v>23</v>
      </c>
      <c r="P205" s="1" t="s">
        <v>820</v>
      </c>
      <c r="Q205" s="1">
        <f>31-683265823</f>
        <v>-683265792</v>
      </c>
      <c r="R205" s="1">
        <v>2013</v>
      </c>
    </row>
    <row r="206" spans="1:19" ht="15" customHeight="1" x14ac:dyDescent="0.25">
      <c r="A206" s="4" t="s">
        <v>15</v>
      </c>
      <c r="B206" s="1">
        <v>4280563</v>
      </c>
      <c r="C206" s="35" t="s">
        <v>5950</v>
      </c>
      <c r="D206" s="29" t="s">
        <v>758</v>
      </c>
      <c r="E206" s="1" t="s">
        <v>759</v>
      </c>
      <c r="F206" s="1" t="s">
        <v>130</v>
      </c>
      <c r="G206" s="4" t="s">
        <v>5580</v>
      </c>
      <c r="H206" s="4" t="s">
        <v>5715</v>
      </c>
      <c r="I206" s="4" t="s">
        <v>5673</v>
      </c>
      <c r="J206" s="2">
        <v>34837</v>
      </c>
      <c r="K206" s="1" t="s">
        <v>19</v>
      </c>
      <c r="L206" s="1" t="s">
        <v>20</v>
      </c>
      <c r="M206" s="1" t="s">
        <v>760</v>
      </c>
      <c r="N206" s="1" t="s">
        <v>761</v>
      </c>
      <c r="O206" s="1" t="s">
        <v>23</v>
      </c>
      <c r="P206" s="1" t="s">
        <v>762</v>
      </c>
      <c r="Q206" s="1">
        <f>31-627654817</f>
        <v>-627654786</v>
      </c>
      <c r="R206" s="1">
        <v>2013</v>
      </c>
    </row>
    <row r="207" spans="1:19" ht="15" customHeight="1" x14ac:dyDescent="0.25">
      <c r="A207" s="4" t="s">
        <v>15</v>
      </c>
      <c r="B207" s="1">
        <v>4284933</v>
      </c>
      <c r="C207" s="35" t="s">
        <v>5951</v>
      </c>
      <c r="D207" s="29" t="s">
        <v>881</v>
      </c>
      <c r="E207" s="1" t="s">
        <v>882</v>
      </c>
      <c r="F207" s="1" t="s">
        <v>883</v>
      </c>
      <c r="G207" s="4" t="s">
        <v>5580</v>
      </c>
      <c r="H207" s="4" t="s">
        <v>5715</v>
      </c>
      <c r="I207" s="4" t="s">
        <v>5673</v>
      </c>
      <c r="J207" s="2">
        <v>34902</v>
      </c>
      <c r="K207" s="1" t="s">
        <v>19</v>
      </c>
      <c r="L207" s="1" t="s">
        <v>111</v>
      </c>
      <c r="M207" s="1" t="s">
        <v>884</v>
      </c>
      <c r="N207" s="1" t="s">
        <v>885</v>
      </c>
      <c r="O207" s="1" t="s">
        <v>23</v>
      </c>
      <c r="P207" s="1" t="s">
        <v>886</v>
      </c>
      <c r="Q207" s="1">
        <f>31-611753596</f>
        <v>-611753565</v>
      </c>
      <c r="R207" s="1">
        <v>2013</v>
      </c>
    </row>
    <row r="208" spans="1:19" ht="15" customHeight="1" x14ac:dyDescent="0.25">
      <c r="A208" s="4" t="s">
        <v>15</v>
      </c>
      <c r="B208" s="1">
        <v>4241401</v>
      </c>
      <c r="C208" s="35" t="s">
        <v>5952</v>
      </c>
      <c r="D208" s="29" t="s">
        <v>838</v>
      </c>
      <c r="E208" s="1" t="s">
        <v>839</v>
      </c>
      <c r="F208" s="1" t="s">
        <v>378</v>
      </c>
      <c r="G208" s="4" t="s">
        <v>5580</v>
      </c>
      <c r="H208" s="4" t="s">
        <v>5715</v>
      </c>
      <c r="I208" s="4" t="s">
        <v>5673</v>
      </c>
      <c r="J208" s="2">
        <v>34358</v>
      </c>
      <c r="K208" s="1" t="s">
        <v>19</v>
      </c>
      <c r="L208" s="1" t="s">
        <v>20</v>
      </c>
      <c r="M208" s="1" t="s">
        <v>840</v>
      </c>
      <c r="N208" s="1" t="s">
        <v>841</v>
      </c>
      <c r="O208" s="1" t="s">
        <v>23</v>
      </c>
      <c r="P208" s="1" t="s">
        <v>842</v>
      </c>
      <c r="R208" s="1">
        <v>2012</v>
      </c>
      <c r="S208" s="1" t="s">
        <v>5232</v>
      </c>
    </row>
    <row r="209" spans="1:19" ht="15" customHeight="1" x14ac:dyDescent="0.25">
      <c r="A209" s="4" t="s">
        <v>15</v>
      </c>
      <c r="B209" s="1">
        <v>4269195</v>
      </c>
      <c r="C209" s="35" t="s">
        <v>5953</v>
      </c>
      <c r="D209" s="29" t="s">
        <v>4285</v>
      </c>
      <c r="E209" s="1" t="s">
        <v>4286</v>
      </c>
      <c r="F209" s="1" t="s">
        <v>4287</v>
      </c>
      <c r="G209" s="4" t="s">
        <v>5580</v>
      </c>
      <c r="H209" s="4" t="s">
        <v>5715</v>
      </c>
      <c r="I209" s="4" t="s">
        <v>5673</v>
      </c>
      <c r="J209" s="2">
        <v>34908</v>
      </c>
      <c r="K209" s="1" t="s">
        <v>19</v>
      </c>
      <c r="L209" s="1" t="s">
        <v>20</v>
      </c>
      <c r="M209" s="1" t="s">
        <v>4288</v>
      </c>
      <c r="O209" s="1" t="s">
        <v>669</v>
      </c>
      <c r="P209" s="1" t="s">
        <v>4289</v>
      </c>
      <c r="Q209" s="1">
        <f>599-95180415</f>
        <v>-95179816</v>
      </c>
      <c r="R209" s="1">
        <v>2013</v>
      </c>
    </row>
    <row r="210" spans="1:19" ht="15" customHeight="1" x14ac:dyDescent="0.25">
      <c r="A210" s="4" t="s">
        <v>15</v>
      </c>
      <c r="B210" s="1">
        <v>4285522</v>
      </c>
      <c r="C210" s="35" t="s">
        <v>5954</v>
      </c>
      <c r="D210" s="29" t="s">
        <v>849</v>
      </c>
      <c r="E210" s="1" t="s">
        <v>850</v>
      </c>
      <c r="F210" s="1" t="s">
        <v>684</v>
      </c>
      <c r="G210" s="4" t="s">
        <v>5580</v>
      </c>
      <c r="H210" s="4" t="s">
        <v>5715</v>
      </c>
      <c r="I210" s="4" t="s">
        <v>5673</v>
      </c>
      <c r="J210" s="2">
        <v>34863</v>
      </c>
      <c r="K210" s="1" t="s">
        <v>19</v>
      </c>
      <c r="L210" s="1" t="s">
        <v>20</v>
      </c>
      <c r="M210" s="1" t="s">
        <v>851</v>
      </c>
      <c r="N210" s="1" t="s">
        <v>852</v>
      </c>
      <c r="O210" s="1" t="s">
        <v>23</v>
      </c>
      <c r="P210" s="1" t="s">
        <v>853</v>
      </c>
      <c r="Q210" s="1">
        <f>31-626947072</f>
        <v>-626947041</v>
      </c>
      <c r="R210" s="1">
        <v>2013</v>
      </c>
    </row>
    <row r="211" spans="1:19" ht="15" customHeight="1" x14ac:dyDescent="0.25">
      <c r="A211" s="4" t="s">
        <v>15</v>
      </c>
      <c r="B211" s="1">
        <v>4287436</v>
      </c>
      <c r="C211" s="35" t="s">
        <v>5955</v>
      </c>
      <c r="D211" s="29" t="s">
        <v>705</v>
      </c>
      <c r="E211" s="1" t="s">
        <v>860</v>
      </c>
      <c r="F211" s="1" t="s">
        <v>861</v>
      </c>
      <c r="G211" s="4" t="s">
        <v>5580</v>
      </c>
      <c r="H211" s="4" t="s">
        <v>5715</v>
      </c>
      <c r="I211" s="4" t="s">
        <v>5673</v>
      </c>
      <c r="J211" s="2">
        <v>34841</v>
      </c>
      <c r="K211" s="1" t="s">
        <v>137</v>
      </c>
      <c r="L211" s="1" t="s">
        <v>20</v>
      </c>
      <c r="M211" s="1" t="s">
        <v>862</v>
      </c>
      <c r="N211" s="1" t="s">
        <v>863</v>
      </c>
      <c r="O211" s="1" t="s">
        <v>140</v>
      </c>
      <c r="P211" s="1" t="s">
        <v>864</v>
      </c>
      <c r="Q211" s="1">
        <f>32-479593604</f>
        <v>-479593572</v>
      </c>
      <c r="R211" s="1">
        <v>2013</v>
      </c>
    </row>
    <row r="212" spans="1:19" ht="15" customHeight="1" x14ac:dyDescent="0.25">
      <c r="A212" s="4" t="s">
        <v>15</v>
      </c>
      <c r="B212" s="1">
        <v>4208439</v>
      </c>
      <c r="C212" s="35" t="s">
        <v>5956</v>
      </c>
      <c r="D212" s="29" t="s">
        <v>5212</v>
      </c>
      <c r="E212" s="1" t="s">
        <v>5213</v>
      </c>
      <c r="F212" s="1" t="s">
        <v>1432</v>
      </c>
      <c r="G212" s="4" t="s">
        <v>5580</v>
      </c>
      <c r="H212" s="4" t="s">
        <v>5715</v>
      </c>
      <c r="I212" s="4" t="s">
        <v>5673</v>
      </c>
      <c r="J212" s="2">
        <v>34332</v>
      </c>
      <c r="K212" s="1" t="s">
        <v>19</v>
      </c>
      <c r="L212" s="1" t="s">
        <v>20</v>
      </c>
      <c r="Q212" s="9" t="s">
        <v>5242</v>
      </c>
      <c r="R212" s="1">
        <v>2013</v>
      </c>
      <c r="S212" s="1" t="s">
        <v>5227</v>
      </c>
    </row>
    <row r="213" spans="1:19" ht="15" customHeight="1" x14ac:dyDescent="0.25">
      <c r="A213" s="4" t="s">
        <v>15</v>
      </c>
      <c r="B213" s="1">
        <v>4302605</v>
      </c>
      <c r="C213" s="35" t="s">
        <v>5957</v>
      </c>
      <c r="D213" s="29" t="s">
        <v>871</v>
      </c>
      <c r="E213" s="1" t="s">
        <v>872</v>
      </c>
      <c r="F213" s="1" t="s">
        <v>443</v>
      </c>
      <c r="G213" s="4" t="s">
        <v>5580</v>
      </c>
      <c r="H213" s="4" t="s">
        <v>5715</v>
      </c>
      <c r="I213" s="4" t="s">
        <v>5673</v>
      </c>
      <c r="J213" s="2">
        <v>34723</v>
      </c>
      <c r="K213" s="1" t="s">
        <v>19</v>
      </c>
      <c r="L213" s="1" t="s">
        <v>20</v>
      </c>
      <c r="M213" s="1" t="s">
        <v>873</v>
      </c>
      <c r="N213" s="1" t="s">
        <v>874</v>
      </c>
      <c r="O213" s="1" t="s">
        <v>23</v>
      </c>
      <c r="P213" s="1" t="s">
        <v>875</v>
      </c>
      <c r="Q213" s="1">
        <f>31-618919682</f>
        <v>-618919651</v>
      </c>
      <c r="R213" s="1">
        <v>2013</v>
      </c>
    </row>
    <row r="214" spans="1:19" ht="15" customHeight="1" x14ac:dyDescent="0.25">
      <c r="A214" s="4" t="s">
        <v>15</v>
      </c>
      <c r="B214" s="1">
        <v>4301110</v>
      </c>
      <c r="C214" s="35" t="s">
        <v>5958</v>
      </c>
      <c r="D214" s="29" t="s">
        <v>876</v>
      </c>
      <c r="E214" s="1" t="s">
        <v>877</v>
      </c>
      <c r="F214" s="1" t="s">
        <v>289</v>
      </c>
      <c r="G214" s="4" t="s">
        <v>5580</v>
      </c>
      <c r="H214" s="4" t="s">
        <v>5715</v>
      </c>
      <c r="I214" s="4" t="s">
        <v>5673</v>
      </c>
      <c r="J214" s="2">
        <v>34894</v>
      </c>
      <c r="K214" s="1" t="s">
        <v>19</v>
      </c>
      <c r="L214" s="1" t="s">
        <v>20</v>
      </c>
      <c r="M214" s="1" t="s">
        <v>878</v>
      </c>
      <c r="N214" s="1" t="s">
        <v>879</v>
      </c>
      <c r="O214" s="1" t="s">
        <v>23</v>
      </c>
      <c r="P214" s="1" t="s">
        <v>880</v>
      </c>
      <c r="Q214" s="1">
        <f>31-610944130</f>
        <v>-610944099</v>
      </c>
      <c r="R214" s="1">
        <v>2013</v>
      </c>
    </row>
    <row r="215" spans="1:19" ht="15" customHeight="1" x14ac:dyDescent="0.25">
      <c r="A215" s="4" t="s">
        <v>15</v>
      </c>
      <c r="B215" s="1">
        <v>4287185</v>
      </c>
      <c r="C215" s="35" t="s">
        <v>5959</v>
      </c>
      <c r="D215" s="29" t="s">
        <v>962</v>
      </c>
      <c r="E215" s="1" t="s">
        <v>963</v>
      </c>
      <c r="F215" s="1" t="s">
        <v>964</v>
      </c>
      <c r="G215" s="4" t="s">
        <v>5581</v>
      </c>
      <c r="H215" s="4" t="s">
        <v>5716</v>
      </c>
      <c r="I215" s="4" t="s">
        <v>5674</v>
      </c>
      <c r="J215" s="2">
        <v>34677</v>
      </c>
      <c r="K215" s="1" t="s">
        <v>19</v>
      </c>
      <c r="L215" s="1" t="s">
        <v>111</v>
      </c>
      <c r="M215" s="1" t="s">
        <v>965</v>
      </c>
      <c r="N215" s="1" t="s">
        <v>966</v>
      </c>
      <c r="O215" s="1" t="s">
        <v>23</v>
      </c>
      <c r="P215" s="1" t="s">
        <v>967</v>
      </c>
      <c r="R215" s="1">
        <v>2013</v>
      </c>
    </row>
    <row r="216" spans="1:19" ht="15" customHeight="1" x14ac:dyDescent="0.25">
      <c r="A216" s="4" t="s">
        <v>15</v>
      </c>
      <c r="B216" s="1">
        <v>4308735</v>
      </c>
      <c r="C216" s="35" t="s">
        <v>5960</v>
      </c>
      <c r="D216" s="29" t="s">
        <v>898</v>
      </c>
      <c r="E216" s="1" t="s">
        <v>899</v>
      </c>
      <c r="F216" s="1" t="s">
        <v>900</v>
      </c>
      <c r="G216" s="4" t="s">
        <v>5581</v>
      </c>
      <c r="H216" s="4" t="s">
        <v>5716</v>
      </c>
      <c r="I216" s="4" t="s">
        <v>5674</v>
      </c>
      <c r="J216" s="2">
        <v>34841</v>
      </c>
      <c r="K216" s="1" t="s">
        <v>19</v>
      </c>
      <c r="L216" s="1" t="s">
        <v>20</v>
      </c>
      <c r="M216" s="1" t="s">
        <v>901</v>
      </c>
      <c r="N216" s="1" t="s">
        <v>902</v>
      </c>
      <c r="O216" s="1" t="s">
        <v>23</v>
      </c>
      <c r="P216" s="1" t="s">
        <v>903</v>
      </c>
      <c r="Q216" s="1">
        <f>31-630296795</f>
        <v>-630296764</v>
      </c>
      <c r="R216" s="1">
        <v>2013</v>
      </c>
    </row>
    <row r="217" spans="1:19" ht="15" customHeight="1" x14ac:dyDescent="0.25">
      <c r="A217" s="4" t="s">
        <v>15</v>
      </c>
      <c r="B217" s="1">
        <v>4327799</v>
      </c>
      <c r="C217" s="35" t="s">
        <v>5961</v>
      </c>
      <c r="D217" s="29" t="s">
        <v>908</v>
      </c>
      <c r="E217" s="1" t="s">
        <v>909</v>
      </c>
      <c r="F217" s="1" t="s">
        <v>910</v>
      </c>
      <c r="G217" s="4" t="s">
        <v>5581</v>
      </c>
      <c r="H217" s="4" t="s">
        <v>5716</v>
      </c>
      <c r="I217" s="4" t="s">
        <v>5674</v>
      </c>
      <c r="J217" s="2">
        <v>34749</v>
      </c>
      <c r="K217" s="1" t="s">
        <v>911</v>
      </c>
      <c r="L217" s="1" t="s">
        <v>20</v>
      </c>
      <c r="M217" s="1" t="s">
        <v>912</v>
      </c>
      <c r="N217" s="1" t="s">
        <v>913</v>
      </c>
      <c r="O217" s="1" t="s">
        <v>23</v>
      </c>
      <c r="P217" s="1" t="s">
        <v>914</v>
      </c>
      <c r="Q217" s="1">
        <f>31-622587725</f>
        <v>-622587694</v>
      </c>
      <c r="R217" s="1">
        <v>2013</v>
      </c>
    </row>
    <row r="218" spans="1:19" ht="15" customHeight="1" x14ac:dyDescent="0.25">
      <c r="A218" s="4" t="s">
        <v>15</v>
      </c>
      <c r="B218" s="1">
        <v>4274040</v>
      </c>
      <c r="C218" s="35" t="s">
        <v>5962</v>
      </c>
      <c r="D218" s="1" t="s">
        <v>3765</v>
      </c>
      <c r="E218" s="1" t="s">
        <v>3766</v>
      </c>
      <c r="F218" s="1" t="s">
        <v>3767</v>
      </c>
      <c r="G218" s="4" t="s">
        <v>5581</v>
      </c>
      <c r="H218" s="4" t="s">
        <v>5716</v>
      </c>
      <c r="I218" s="4" t="s">
        <v>5674</v>
      </c>
      <c r="J218" s="2">
        <v>34399</v>
      </c>
      <c r="K218" s="1" t="s">
        <v>19</v>
      </c>
      <c r="L218" s="1" t="s">
        <v>20</v>
      </c>
      <c r="M218" s="1" t="s">
        <v>3768</v>
      </c>
      <c r="N218" s="1" t="s">
        <v>3769</v>
      </c>
      <c r="O218" s="1" t="s">
        <v>23</v>
      </c>
      <c r="P218" s="1" t="s">
        <v>3770</v>
      </c>
      <c r="Q218" s="1">
        <f>31-621172200</f>
        <v>-621172169</v>
      </c>
      <c r="R218" s="1">
        <v>2013</v>
      </c>
    </row>
    <row r="219" spans="1:19" ht="15" customHeight="1" x14ac:dyDescent="0.25">
      <c r="A219" s="4" t="s">
        <v>15</v>
      </c>
      <c r="B219" s="1">
        <v>4315332</v>
      </c>
      <c r="C219" s="35" t="s">
        <v>5963</v>
      </c>
      <c r="D219" s="29" t="s">
        <v>932</v>
      </c>
      <c r="E219" s="1" t="s">
        <v>933</v>
      </c>
      <c r="F219" s="1" t="s">
        <v>104</v>
      </c>
      <c r="G219" s="4" t="s">
        <v>5581</v>
      </c>
      <c r="H219" s="4" t="s">
        <v>5716</v>
      </c>
      <c r="I219" s="4" t="s">
        <v>5674</v>
      </c>
      <c r="J219" s="2">
        <v>33962</v>
      </c>
      <c r="K219" s="1" t="s">
        <v>19</v>
      </c>
      <c r="L219" s="1" t="s">
        <v>20</v>
      </c>
      <c r="M219" s="1" t="s">
        <v>934</v>
      </c>
      <c r="N219" s="1" t="s">
        <v>935</v>
      </c>
      <c r="O219" s="1" t="s">
        <v>23</v>
      </c>
      <c r="P219" s="1" t="s">
        <v>936</v>
      </c>
      <c r="Q219" s="1">
        <f>31-633784542</f>
        <v>-633784511</v>
      </c>
      <c r="R219" s="1">
        <v>2013</v>
      </c>
    </row>
    <row r="220" spans="1:19" ht="15" customHeight="1" x14ac:dyDescent="0.25">
      <c r="A220" s="4" t="s">
        <v>15</v>
      </c>
      <c r="B220" s="1">
        <v>4253795</v>
      </c>
      <c r="C220" s="35" t="s">
        <v>5964</v>
      </c>
      <c r="D220" s="29" t="s">
        <v>947</v>
      </c>
      <c r="E220" s="1" t="s">
        <v>948</v>
      </c>
      <c r="F220" s="1" t="s">
        <v>949</v>
      </c>
      <c r="G220" s="4" t="s">
        <v>5581</v>
      </c>
      <c r="H220" s="4" t="s">
        <v>5716</v>
      </c>
      <c r="I220" s="4" t="s">
        <v>5674</v>
      </c>
      <c r="J220" s="2">
        <v>34364</v>
      </c>
      <c r="K220" s="1" t="s">
        <v>19</v>
      </c>
      <c r="L220" s="1" t="s">
        <v>20</v>
      </c>
      <c r="M220" s="1" t="s">
        <v>950</v>
      </c>
      <c r="N220" s="1" t="s">
        <v>181</v>
      </c>
      <c r="O220" s="1" t="s">
        <v>23</v>
      </c>
      <c r="P220" s="1" t="s">
        <v>951</v>
      </c>
      <c r="Q220" s="1">
        <f>31-627414621</f>
        <v>-627414590</v>
      </c>
      <c r="R220" s="1">
        <v>2012</v>
      </c>
      <c r="S220" s="1" t="s">
        <v>5232</v>
      </c>
    </row>
    <row r="221" spans="1:19" ht="15" customHeight="1" x14ac:dyDescent="0.25">
      <c r="A221" s="4" t="s">
        <v>15</v>
      </c>
      <c r="B221" s="1">
        <v>4235819</v>
      </c>
      <c r="C221" s="35" t="s">
        <v>5965</v>
      </c>
      <c r="D221" s="29" t="s">
        <v>952</v>
      </c>
      <c r="E221" s="1" t="s">
        <v>953</v>
      </c>
      <c r="F221" s="1" t="s">
        <v>528</v>
      </c>
      <c r="G221" s="4" t="s">
        <v>5581</v>
      </c>
      <c r="H221" s="4" t="s">
        <v>5716</v>
      </c>
      <c r="I221" s="4" t="s">
        <v>5674</v>
      </c>
      <c r="J221" s="2">
        <v>33735</v>
      </c>
      <c r="K221" s="1" t="s">
        <v>19</v>
      </c>
      <c r="L221" s="1" t="s">
        <v>20</v>
      </c>
      <c r="M221" s="1" t="s">
        <v>954</v>
      </c>
      <c r="N221" s="1" t="s">
        <v>955</v>
      </c>
      <c r="O221" s="1" t="s">
        <v>23</v>
      </c>
      <c r="P221" s="1" t="s">
        <v>956</v>
      </c>
      <c r="Q221" s="1">
        <f>31-651452503</f>
        <v>-651452472</v>
      </c>
      <c r="R221" s="1">
        <v>2013</v>
      </c>
    </row>
    <row r="222" spans="1:19" ht="15" customHeight="1" x14ac:dyDescent="0.25">
      <c r="A222" s="4" t="s">
        <v>15</v>
      </c>
      <c r="B222" s="1">
        <v>4334329</v>
      </c>
      <c r="C222" s="35" t="s">
        <v>5966</v>
      </c>
      <c r="D222" s="29" t="s">
        <v>957</v>
      </c>
      <c r="E222" s="1" t="s">
        <v>958</v>
      </c>
      <c r="F222" s="1" t="s">
        <v>130</v>
      </c>
      <c r="G222" s="4" t="s">
        <v>5581</v>
      </c>
      <c r="H222" s="4" t="s">
        <v>5716</v>
      </c>
      <c r="I222" s="4" t="s">
        <v>5674</v>
      </c>
      <c r="J222" s="2">
        <v>34884</v>
      </c>
      <c r="K222" s="1" t="s">
        <v>19</v>
      </c>
      <c r="L222" s="1" t="s">
        <v>20</v>
      </c>
      <c r="M222" s="1" t="s">
        <v>959</v>
      </c>
      <c r="N222" s="1" t="s">
        <v>960</v>
      </c>
      <c r="O222" s="1" t="s">
        <v>23</v>
      </c>
      <c r="P222" s="1" t="s">
        <v>961</v>
      </c>
      <c r="Q222" s="1">
        <f>31-610568870</f>
        <v>-610568839</v>
      </c>
      <c r="R222" s="1">
        <v>2013</v>
      </c>
    </row>
    <row r="223" spans="1:19" ht="15" customHeight="1" x14ac:dyDescent="0.25">
      <c r="A223" s="4" t="s">
        <v>15</v>
      </c>
      <c r="B223" s="1">
        <v>4332369</v>
      </c>
      <c r="C223" s="35" t="s">
        <v>5967</v>
      </c>
      <c r="D223" s="29" t="s">
        <v>5201</v>
      </c>
      <c r="E223" s="1" t="s">
        <v>5202</v>
      </c>
      <c r="F223" s="1" t="s">
        <v>1483</v>
      </c>
      <c r="G223" s="4" t="s">
        <v>5581</v>
      </c>
      <c r="H223" s="4" t="s">
        <v>5716</v>
      </c>
      <c r="I223" s="4" t="s">
        <v>5674</v>
      </c>
      <c r="J223" s="2">
        <v>34239</v>
      </c>
      <c r="K223" s="1" t="s">
        <v>19</v>
      </c>
      <c r="L223" s="1" t="s">
        <v>111</v>
      </c>
      <c r="M223" s="1" t="s">
        <v>5203</v>
      </c>
      <c r="N223" s="1" t="s">
        <v>5204</v>
      </c>
      <c r="O223" s="1" t="s">
        <v>23</v>
      </c>
      <c r="P223" s="1" t="s">
        <v>5205</v>
      </c>
      <c r="Q223" s="1">
        <f>31-633750120</f>
        <v>-633750089</v>
      </c>
      <c r="R223" s="1">
        <v>2013</v>
      </c>
    </row>
    <row r="224" spans="1:19" ht="15" customHeight="1" x14ac:dyDescent="0.25">
      <c r="A224" s="4" t="s">
        <v>15</v>
      </c>
      <c r="B224" s="1">
        <v>4318498</v>
      </c>
      <c r="C224" s="35" t="s">
        <v>5968</v>
      </c>
      <c r="D224" s="29" t="s">
        <v>968</v>
      </c>
      <c r="E224" s="1" t="s">
        <v>969</v>
      </c>
      <c r="F224" s="1" t="s">
        <v>970</v>
      </c>
      <c r="G224" s="4" t="s">
        <v>5582</v>
      </c>
      <c r="H224" s="4" t="s">
        <v>5716</v>
      </c>
      <c r="I224" s="4" t="s">
        <v>5674</v>
      </c>
      <c r="J224" s="2">
        <v>34288</v>
      </c>
      <c r="K224" s="1" t="s">
        <v>19</v>
      </c>
      <c r="L224" s="1" t="s">
        <v>20</v>
      </c>
      <c r="M224" s="1" t="s">
        <v>971</v>
      </c>
      <c r="N224" s="1" t="s">
        <v>972</v>
      </c>
      <c r="O224" s="1" t="s">
        <v>23</v>
      </c>
      <c r="P224" s="1" t="s">
        <v>973</v>
      </c>
      <c r="Q224" s="1">
        <f>31-616469218</f>
        <v>-616469187</v>
      </c>
      <c r="R224" s="1">
        <v>2013</v>
      </c>
    </row>
    <row r="225" spans="1:19" ht="15" customHeight="1" x14ac:dyDescent="0.25">
      <c r="A225" s="4" t="s">
        <v>15</v>
      </c>
      <c r="B225" s="1">
        <v>4323394</v>
      </c>
      <c r="C225" s="35" t="s">
        <v>5969</v>
      </c>
      <c r="D225" s="29" t="s">
        <v>974</v>
      </c>
      <c r="E225" s="1" t="s">
        <v>975</v>
      </c>
      <c r="F225" s="1" t="s">
        <v>976</v>
      </c>
      <c r="G225" s="4" t="s">
        <v>5582</v>
      </c>
      <c r="H225" s="4" t="s">
        <v>5716</v>
      </c>
      <c r="I225" s="4" t="s">
        <v>5674</v>
      </c>
      <c r="J225" s="2">
        <v>34414</v>
      </c>
      <c r="K225" s="1" t="s">
        <v>19</v>
      </c>
      <c r="L225" s="1" t="s">
        <v>20</v>
      </c>
      <c r="M225" s="1" t="s">
        <v>977</v>
      </c>
      <c r="N225" s="1" t="s">
        <v>978</v>
      </c>
      <c r="O225" s="1" t="s">
        <v>23</v>
      </c>
      <c r="P225" s="1" t="s">
        <v>979</v>
      </c>
      <c r="Q225" s="1">
        <f>31-631204983</f>
        <v>-631204952</v>
      </c>
      <c r="R225" s="1">
        <v>2013</v>
      </c>
    </row>
    <row r="226" spans="1:19" ht="15" customHeight="1" x14ac:dyDescent="0.25">
      <c r="A226" s="4" t="s">
        <v>15</v>
      </c>
      <c r="B226" s="1">
        <v>4204204</v>
      </c>
      <c r="C226" s="35" t="s">
        <v>5970</v>
      </c>
      <c r="D226" s="29" t="s">
        <v>915</v>
      </c>
      <c r="E226" s="1" t="s">
        <v>916</v>
      </c>
      <c r="F226" s="1" t="s">
        <v>917</v>
      </c>
      <c r="G226" s="4" t="s">
        <v>5582</v>
      </c>
      <c r="H226" s="4" t="s">
        <v>5716</v>
      </c>
      <c r="I226" s="4" t="s">
        <v>5674</v>
      </c>
      <c r="J226" s="2">
        <v>34290</v>
      </c>
      <c r="K226" s="1" t="s">
        <v>19</v>
      </c>
      <c r="L226" s="1" t="s">
        <v>20</v>
      </c>
      <c r="M226" s="1" t="s">
        <v>918</v>
      </c>
      <c r="N226" s="1" t="s">
        <v>919</v>
      </c>
      <c r="O226" s="1" t="s">
        <v>23</v>
      </c>
      <c r="P226" s="1" t="s">
        <v>920</v>
      </c>
      <c r="Q226" s="1">
        <f>31-654703518</f>
        <v>-654703487</v>
      </c>
      <c r="R226" s="1">
        <v>2013</v>
      </c>
    </row>
    <row r="227" spans="1:19" ht="15" customHeight="1" x14ac:dyDescent="0.25">
      <c r="A227" s="4" t="s">
        <v>15</v>
      </c>
      <c r="B227" s="1">
        <v>4281403</v>
      </c>
      <c r="C227" s="35" t="s">
        <v>5971</v>
      </c>
      <c r="D227" s="29" t="s">
        <v>601</v>
      </c>
      <c r="E227" s="1" t="s">
        <v>980</v>
      </c>
      <c r="F227" s="1" t="s">
        <v>981</v>
      </c>
      <c r="G227" s="4" t="s">
        <v>5582</v>
      </c>
      <c r="H227" s="4" t="s">
        <v>5716</v>
      </c>
      <c r="I227" s="4" t="s">
        <v>5674</v>
      </c>
      <c r="J227" s="2">
        <v>35065</v>
      </c>
      <c r="K227" s="1" t="s">
        <v>19</v>
      </c>
      <c r="L227" s="1" t="s">
        <v>20</v>
      </c>
      <c r="M227" s="1" t="s">
        <v>982</v>
      </c>
      <c r="N227" s="1" t="s">
        <v>983</v>
      </c>
      <c r="O227" s="1" t="s">
        <v>23</v>
      </c>
      <c r="P227" s="1" t="s">
        <v>984</v>
      </c>
      <c r="Q227" s="1">
        <f>31-647002030</f>
        <v>-647001999</v>
      </c>
      <c r="R227" s="1">
        <v>2013</v>
      </c>
    </row>
    <row r="228" spans="1:19" ht="15" customHeight="1" x14ac:dyDescent="0.25">
      <c r="A228" s="4" t="s">
        <v>15</v>
      </c>
      <c r="B228" s="1">
        <v>4304179</v>
      </c>
      <c r="C228" s="35" t="s">
        <v>5972</v>
      </c>
      <c r="D228" s="29" t="s">
        <v>985</v>
      </c>
      <c r="E228" s="1" t="s">
        <v>986</v>
      </c>
      <c r="F228" s="1" t="s">
        <v>987</v>
      </c>
      <c r="G228" s="4" t="s">
        <v>5582</v>
      </c>
      <c r="H228" s="4" t="s">
        <v>5716</v>
      </c>
      <c r="I228" s="4" t="s">
        <v>5674</v>
      </c>
      <c r="J228" s="2">
        <v>34871</v>
      </c>
      <c r="K228" s="1" t="s">
        <v>19</v>
      </c>
      <c r="L228" s="1" t="s">
        <v>20</v>
      </c>
      <c r="M228" s="1" t="s">
        <v>988</v>
      </c>
      <c r="N228" s="1" t="s">
        <v>989</v>
      </c>
      <c r="O228" s="1" t="s">
        <v>23</v>
      </c>
      <c r="P228" s="1" t="s">
        <v>990</v>
      </c>
      <c r="Q228" s="1">
        <f>31-612758725</f>
        <v>-612758694</v>
      </c>
      <c r="R228" s="1">
        <v>2013</v>
      </c>
    </row>
    <row r="229" spans="1:19" ht="15" customHeight="1" x14ac:dyDescent="0.25">
      <c r="A229" s="4" t="s">
        <v>15</v>
      </c>
      <c r="B229" s="1">
        <v>4292510</v>
      </c>
      <c r="C229" s="35" t="s">
        <v>5973</v>
      </c>
      <c r="D229" s="29" t="s">
        <v>991</v>
      </c>
      <c r="E229" s="1" t="s">
        <v>992</v>
      </c>
      <c r="F229" s="1" t="s">
        <v>130</v>
      </c>
      <c r="G229" s="4" t="s">
        <v>5582</v>
      </c>
      <c r="H229" s="4" t="s">
        <v>5716</v>
      </c>
      <c r="I229" s="4" t="s">
        <v>5674</v>
      </c>
      <c r="J229" s="2">
        <v>34599</v>
      </c>
      <c r="K229" s="1" t="s">
        <v>19</v>
      </c>
      <c r="L229" s="1" t="s">
        <v>20</v>
      </c>
      <c r="M229" s="1" t="s">
        <v>993</v>
      </c>
      <c r="N229" s="1" t="s">
        <v>994</v>
      </c>
      <c r="O229" s="1" t="s">
        <v>23</v>
      </c>
      <c r="P229" s="1" t="s">
        <v>995</v>
      </c>
      <c r="Q229" s="1">
        <f>31-621181109</f>
        <v>-621181078</v>
      </c>
      <c r="R229" s="1">
        <v>2013</v>
      </c>
    </row>
    <row r="230" spans="1:19" ht="15" customHeight="1" x14ac:dyDescent="0.25">
      <c r="A230" s="4" t="s">
        <v>15</v>
      </c>
      <c r="B230" s="1">
        <v>4297814</v>
      </c>
      <c r="C230" s="35" t="s">
        <v>5974</v>
      </c>
      <c r="D230" s="29" t="s">
        <v>1035</v>
      </c>
      <c r="E230" s="1" t="s">
        <v>1036</v>
      </c>
      <c r="F230" s="1" t="s">
        <v>1037</v>
      </c>
      <c r="G230" s="4" t="s">
        <v>5582</v>
      </c>
      <c r="H230" s="4" t="s">
        <v>5716</v>
      </c>
      <c r="I230" s="4" t="s">
        <v>5674</v>
      </c>
      <c r="J230" s="2">
        <v>34770</v>
      </c>
      <c r="K230" s="1" t="s">
        <v>19</v>
      </c>
      <c r="L230" s="1" t="s">
        <v>111</v>
      </c>
      <c r="M230" s="1" t="s">
        <v>1038</v>
      </c>
      <c r="N230" s="1" t="s">
        <v>1039</v>
      </c>
      <c r="O230" s="1" t="s">
        <v>23</v>
      </c>
      <c r="P230" s="1" t="s">
        <v>1040</v>
      </c>
      <c r="Q230" s="1">
        <f>31-634479889</f>
        <v>-634479858</v>
      </c>
      <c r="R230" s="1">
        <v>2013</v>
      </c>
    </row>
    <row r="231" spans="1:19" ht="15" customHeight="1" x14ac:dyDescent="0.25">
      <c r="A231" s="4" t="s">
        <v>15</v>
      </c>
      <c r="B231" s="1">
        <v>4323793</v>
      </c>
      <c r="C231" s="35" t="s">
        <v>5975</v>
      </c>
      <c r="D231" s="29" t="s">
        <v>1018</v>
      </c>
      <c r="E231" s="1" t="s">
        <v>1019</v>
      </c>
      <c r="F231" s="1" t="s">
        <v>845</v>
      </c>
      <c r="G231" s="4" t="s">
        <v>5582</v>
      </c>
      <c r="H231" s="4" t="s">
        <v>5716</v>
      </c>
      <c r="I231" s="4" t="s">
        <v>5674</v>
      </c>
      <c r="J231" s="2">
        <v>34801</v>
      </c>
      <c r="K231" s="1" t="s">
        <v>19</v>
      </c>
      <c r="L231" s="1" t="s">
        <v>20</v>
      </c>
      <c r="M231" s="1" t="s">
        <v>1020</v>
      </c>
      <c r="N231" s="1" t="s">
        <v>1021</v>
      </c>
      <c r="O231" s="1" t="s">
        <v>23</v>
      </c>
      <c r="P231" s="1" t="s">
        <v>1022</v>
      </c>
      <c r="Q231" s="1">
        <f>31-620060500</f>
        <v>-620060469</v>
      </c>
      <c r="R231" s="1">
        <v>2013</v>
      </c>
    </row>
    <row r="232" spans="1:19" ht="15" customHeight="1" x14ac:dyDescent="0.25">
      <c r="A232" s="4" t="s">
        <v>15</v>
      </c>
      <c r="B232" s="1">
        <v>4278410</v>
      </c>
      <c r="C232" s="35" t="s">
        <v>5976</v>
      </c>
      <c r="D232" s="29" t="s">
        <v>1041</v>
      </c>
      <c r="E232" s="1" t="s">
        <v>1042</v>
      </c>
      <c r="F232" s="1" t="s">
        <v>271</v>
      </c>
      <c r="G232" s="4" t="s">
        <v>5583</v>
      </c>
      <c r="H232" s="4" t="s">
        <v>5716</v>
      </c>
      <c r="I232" s="4" t="s">
        <v>5675</v>
      </c>
      <c r="J232" s="2">
        <v>34897</v>
      </c>
      <c r="K232" s="1" t="s">
        <v>19</v>
      </c>
      <c r="L232" s="1" t="s">
        <v>20</v>
      </c>
      <c r="M232" s="1" t="s">
        <v>1043</v>
      </c>
      <c r="N232" s="1" t="s">
        <v>1044</v>
      </c>
      <c r="O232" s="1" t="s">
        <v>23</v>
      </c>
      <c r="P232" s="1" t="s">
        <v>1045</v>
      </c>
      <c r="R232" s="1">
        <v>2013</v>
      </c>
    </row>
    <row r="233" spans="1:19" ht="15" customHeight="1" x14ac:dyDescent="0.25">
      <c r="A233" s="4" t="s">
        <v>15</v>
      </c>
      <c r="B233" s="1">
        <v>4281322</v>
      </c>
      <c r="C233" s="35" t="s">
        <v>5977</v>
      </c>
      <c r="D233" s="29" t="s">
        <v>1105</v>
      </c>
      <c r="E233" s="1" t="s">
        <v>1106</v>
      </c>
      <c r="F233" s="1" t="s">
        <v>1107</v>
      </c>
      <c r="G233" s="4" t="s">
        <v>5583</v>
      </c>
      <c r="H233" s="4" t="s">
        <v>5716</v>
      </c>
      <c r="I233" s="4" t="s">
        <v>5675</v>
      </c>
      <c r="J233" s="2">
        <v>34711</v>
      </c>
      <c r="K233" s="1" t="s">
        <v>19</v>
      </c>
      <c r="L233" s="1" t="s">
        <v>111</v>
      </c>
      <c r="M233" s="1" t="s">
        <v>1108</v>
      </c>
      <c r="N233" s="1" t="s">
        <v>1109</v>
      </c>
      <c r="O233" s="1" t="s">
        <v>23</v>
      </c>
      <c r="P233" s="1" t="s">
        <v>1110</v>
      </c>
      <c r="R233" s="1">
        <v>2013</v>
      </c>
    </row>
    <row r="234" spans="1:19" ht="15" customHeight="1" x14ac:dyDescent="0.25">
      <c r="A234" s="4" t="s">
        <v>15</v>
      </c>
      <c r="B234" s="1">
        <v>4295102</v>
      </c>
      <c r="C234" s="35" t="s">
        <v>5978</v>
      </c>
      <c r="D234" s="29" t="s">
        <v>1046</v>
      </c>
      <c r="E234" s="1" t="s">
        <v>1047</v>
      </c>
      <c r="F234" s="1" t="s">
        <v>348</v>
      </c>
      <c r="G234" s="4" t="s">
        <v>5583</v>
      </c>
      <c r="H234" s="4" t="s">
        <v>5716</v>
      </c>
      <c r="I234" s="4" t="s">
        <v>5675</v>
      </c>
      <c r="J234" s="2">
        <v>34774</v>
      </c>
      <c r="K234" s="1" t="s">
        <v>19</v>
      </c>
      <c r="L234" s="1" t="s">
        <v>20</v>
      </c>
      <c r="M234" s="1" t="s">
        <v>1048</v>
      </c>
      <c r="N234" s="1" t="s">
        <v>1049</v>
      </c>
      <c r="O234" s="1" t="s">
        <v>23</v>
      </c>
      <c r="P234" s="1" t="s">
        <v>1050</v>
      </c>
      <c r="Q234" s="1">
        <f>31-611729400</f>
        <v>-611729369</v>
      </c>
      <c r="R234" s="1">
        <v>2013</v>
      </c>
    </row>
    <row r="235" spans="1:19" ht="15" customHeight="1" x14ac:dyDescent="0.25">
      <c r="A235" s="4" t="s">
        <v>15</v>
      </c>
      <c r="B235" s="1">
        <v>4223608</v>
      </c>
      <c r="C235" s="35" t="s">
        <v>5979</v>
      </c>
      <c r="D235" s="29" t="s">
        <v>1072</v>
      </c>
      <c r="E235" s="1" t="s">
        <v>1073</v>
      </c>
      <c r="F235" s="1" t="s">
        <v>1074</v>
      </c>
      <c r="G235" s="4" t="s">
        <v>5583</v>
      </c>
      <c r="H235" s="4" t="s">
        <v>5716</v>
      </c>
      <c r="I235" s="4" t="s">
        <v>5675</v>
      </c>
      <c r="J235" s="2">
        <v>34572</v>
      </c>
      <c r="K235" s="1" t="s">
        <v>19</v>
      </c>
      <c r="L235" s="1" t="s">
        <v>20</v>
      </c>
      <c r="M235" s="1" t="s">
        <v>1075</v>
      </c>
      <c r="N235" s="1" t="s">
        <v>1076</v>
      </c>
      <c r="O235" s="1" t="s">
        <v>23</v>
      </c>
      <c r="P235" s="1" t="s">
        <v>1077</v>
      </c>
      <c r="Q235" s="1">
        <f>31-643694333</f>
        <v>-643694302</v>
      </c>
      <c r="R235" s="1">
        <v>2012</v>
      </c>
      <c r="S235" s="1" t="s">
        <v>115</v>
      </c>
    </row>
    <row r="236" spans="1:19" ht="15" customHeight="1" x14ac:dyDescent="0.25">
      <c r="A236" s="4" t="s">
        <v>15</v>
      </c>
      <c r="B236" s="1">
        <v>4296095</v>
      </c>
      <c r="C236" s="35" t="s">
        <v>5980</v>
      </c>
      <c r="D236" s="29" t="s">
        <v>1111</v>
      </c>
      <c r="E236" s="1" t="s">
        <v>1112</v>
      </c>
      <c r="F236" s="1" t="s">
        <v>118</v>
      </c>
      <c r="G236" s="4" t="s">
        <v>5583</v>
      </c>
      <c r="H236" s="4" t="s">
        <v>5716</v>
      </c>
      <c r="I236" s="4" t="s">
        <v>5675</v>
      </c>
      <c r="J236" s="2">
        <v>34742</v>
      </c>
      <c r="K236" s="1" t="s">
        <v>19</v>
      </c>
      <c r="L236" s="1" t="s">
        <v>111</v>
      </c>
      <c r="M236" s="1" t="s">
        <v>1113</v>
      </c>
      <c r="N236" s="1" t="s">
        <v>1114</v>
      </c>
      <c r="O236" s="1" t="s">
        <v>23</v>
      </c>
      <c r="P236" s="1" t="s">
        <v>1115</v>
      </c>
      <c r="Q236" s="1">
        <f>31-617507036</f>
        <v>-617507005</v>
      </c>
      <c r="R236" s="1">
        <v>2013</v>
      </c>
    </row>
    <row r="237" spans="1:19" ht="15" customHeight="1" x14ac:dyDescent="0.25">
      <c r="A237" s="4" t="s">
        <v>15</v>
      </c>
      <c r="B237" s="1">
        <v>4309235</v>
      </c>
      <c r="C237" s="35" t="s">
        <v>5981</v>
      </c>
      <c r="D237" s="29" t="s">
        <v>1093</v>
      </c>
      <c r="E237" s="1" t="s">
        <v>1094</v>
      </c>
      <c r="F237" s="1" t="s">
        <v>1095</v>
      </c>
      <c r="G237" s="4" t="s">
        <v>5583</v>
      </c>
      <c r="H237" s="4" t="s">
        <v>5716</v>
      </c>
      <c r="I237" s="4" t="s">
        <v>5675</v>
      </c>
      <c r="J237" s="2">
        <v>34564</v>
      </c>
      <c r="K237" s="1" t="s">
        <v>19</v>
      </c>
      <c r="L237" s="1" t="s">
        <v>20</v>
      </c>
      <c r="M237" s="1" t="s">
        <v>1096</v>
      </c>
      <c r="N237" s="1" t="s">
        <v>1097</v>
      </c>
      <c r="O237" s="1" t="s">
        <v>23</v>
      </c>
      <c r="P237" s="1" t="s">
        <v>1098</v>
      </c>
      <c r="Q237" s="1">
        <f>31-618862616</f>
        <v>-618862585</v>
      </c>
      <c r="R237" s="1">
        <v>2013</v>
      </c>
    </row>
    <row r="238" spans="1:19" ht="15" customHeight="1" x14ac:dyDescent="0.25">
      <c r="A238" s="4" t="s">
        <v>15</v>
      </c>
      <c r="B238" s="1">
        <v>4287053</v>
      </c>
      <c r="C238" s="35" t="s">
        <v>5982</v>
      </c>
      <c r="D238" s="29" t="s">
        <v>1099</v>
      </c>
      <c r="E238" s="1" t="s">
        <v>1100</v>
      </c>
      <c r="F238" s="1" t="s">
        <v>1101</v>
      </c>
      <c r="G238" s="4" t="s">
        <v>5583</v>
      </c>
      <c r="H238" s="4" t="s">
        <v>5716</v>
      </c>
      <c r="I238" s="4" t="s">
        <v>5675</v>
      </c>
      <c r="J238" s="2">
        <v>35002</v>
      </c>
      <c r="K238" s="1" t="s">
        <v>19</v>
      </c>
      <c r="L238" s="1" t="s">
        <v>20</v>
      </c>
      <c r="M238" s="1" t="s">
        <v>1102</v>
      </c>
      <c r="N238" s="1" t="s">
        <v>1103</v>
      </c>
      <c r="O238" s="1" t="s">
        <v>23</v>
      </c>
      <c r="P238" s="1" t="s">
        <v>1104</v>
      </c>
      <c r="R238" s="1">
        <v>2013</v>
      </c>
    </row>
    <row r="239" spans="1:19" ht="15" customHeight="1" x14ac:dyDescent="0.25">
      <c r="A239" s="4" t="s">
        <v>15</v>
      </c>
      <c r="B239" s="1">
        <v>4327985</v>
      </c>
      <c r="C239" s="35" t="s">
        <v>5983</v>
      </c>
      <c r="D239" s="29" t="s">
        <v>1116</v>
      </c>
      <c r="E239" s="1" t="s">
        <v>1117</v>
      </c>
      <c r="F239" s="1" t="s">
        <v>118</v>
      </c>
      <c r="G239" s="4" t="s">
        <v>5583</v>
      </c>
      <c r="H239" s="4" t="s">
        <v>5716</v>
      </c>
      <c r="I239" s="4" t="s">
        <v>5675</v>
      </c>
      <c r="J239" s="2">
        <v>34667</v>
      </c>
      <c r="K239" s="1" t="s">
        <v>19</v>
      </c>
      <c r="L239" s="1" t="s">
        <v>111</v>
      </c>
      <c r="M239" s="1" t="s">
        <v>1118</v>
      </c>
      <c r="N239" s="1" t="s">
        <v>1119</v>
      </c>
      <c r="O239" s="1" t="s">
        <v>23</v>
      </c>
      <c r="P239" s="1" t="s">
        <v>1120</v>
      </c>
      <c r="Q239" s="1">
        <f>31-615104663</f>
        <v>-615104632</v>
      </c>
      <c r="R239" s="1">
        <v>2013</v>
      </c>
    </row>
    <row r="240" spans="1:19" ht="15" customHeight="1" x14ac:dyDescent="0.25">
      <c r="A240" s="4" t="s">
        <v>15</v>
      </c>
      <c r="B240" s="1">
        <v>4282833</v>
      </c>
      <c r="C240" s="35" t="s">
        <v>5984</v>
      </c>
      <c r="D240" s="29" t="s">
        <v>1187</v>
      </c>
      <c r="E240" s="1" t="s">
        <v>1188</v>
      </c>
      <c r="F240" s="1" t="s">
        <v>1189</v>
      </c>
      <c r="G240" s="4" t="s">
        <v>5584</v>
      </c>
      <c r="H240" s="4" t="s">
        <v>5716</v>
      </c>
      <c r="I240" s="4" t="s">
        <v>5675</v>
      </c>
      <c r="J240" s="2">
        <v>34754</v>
      </c>
      <c r="K240" s="1" t="s">
        <v>19</v>
      </c>
      <c r="L240" s="1" t="s">
        <v>111</v>
      </c>
      <c r="M240" s="1" t="s">
        <v>1190</v>
      </c>
      <c r="N240" s="1" t="s">
        <v>1191</v>
      </c>
      <c r="O240" s="1" t="s">
        <v>23</v>
      </c>
      <c r="P240" s="1" t="s">
        <v>1192</v>
      </c>
      <c r="Q240" s="1">
        <f>31-641338252</f>
        <v>-641338221</v>
      </c>
      <c r="R240" s="1">
        <v>2013</v>
      </c>
    </row>
    <row r="241" spans="1:19" ht="15" customHeight="1" x14ac:dyDescent="0.25">
      <c r="A241" s="4" t="s">
        <v>15</v>
      </c>
      <c r="B241" s="1">
        <v>4294386</v>
      </c>
      <c r="C241" s="35" t="s">
        <v>5985</v>
      </c>
      <c r="D241" s="29" t="s">
        <v>1127</v>
      </c>
      <c r="E241" s="1" t="s">
        <v>1128</v>
      </c>
      <c r="F241" s="1" t="s">
        <v>1129</v>
      </c>
      <c r="G241" s="4" t="s">
        <v>5584</v>
      </c>
      <c r="H241" s="4" t="s">
        <v>5716</v>
      </c>
      <c r="I241" s="4" t="s">
        <v>5675</v>
      </c>
      <c r="J241" s="2">
        <v>34618</v>
      </c>
      <c r="K241" s="1" t="s">
        <v>19</v>
      </c>
      <c r="L241" s="1" t="s">
        <v>20</v>
      </c>
      <c r="M241" s="1" t="s">
        <v>1130</v>
      </c>
      <c r="N241" s="1" t="s">
        <v>1131</v>
      </c>
      <c r="O241" s="1" t="s">
        <v>23</v>
      </c>
      <c r="P241" s="1" t="s">
        <v>1132</v>
      </c>
      <c r="Q241" s="1">
        <f>31-624934649</f>
        <v>-624934618</v>
      </c>
      <c r="R241" s="1">
        <v>2013</v>
      </c>
    </row>
    <row r="242" spans="1:19" ht="15" customHeight="1" x14ac:dyDescent="0.25">
      <c r="A242" s="4" t="s">
        <v>15</v>
      </c>
      <c r="B242" s="1">
        <v>4168518</v>
      </c>
      <c r="C242" s="35" t="s">
        <v>5986</v>
      </c>
      <c r="D242" s="29" t="s">
        <v>1138</v>
      </c>
      <c r="E242" s="1" t="s">
        <v>1139</v>
      </c>
      <c r="F242" s="1" t="s">
        <v>1140</v>
      </c>
      <c r="G242" s="4" t="s">
        <v>5584</v>
      </c>
      <c r="H242" s="4" t="s">
        <v>5716</v>
      </c>
      <c r="I242" s="4" t="s">
        <v>5675</v>
      </c>
      <c r="J242" s="2">
        <v>33410</v>
      </c>
      <c r="K242" s="1" t="s">
        <v>19</v>
      </c>
      <c r="L242" s="1" t="s">
        <v>20</v>
      </c>
      <c r="M242" s="1" t="s">
        <v>1141</v>
      </c>
      <c r="N242" s="1" t="s">
        <v>1142</v>
      </c>
      <c r="O242" s="1" t="s">
        <v>23</v>
      </c>
      <c r="P242" s="1" t="s">
        <v>1143</v>
      </c>
      <c r="Q242" s="1">
        <f>31-653660429</f>
        <v>-653660398</v>
      </c>
      <c r="R242" s="1">
        <v>2011</v>
      </c>
      <c r="S242" s="1" t="s">
        <v>88</v>
      </c>
    </row>
    <row r="243" spans="1:19" ht="15" customHeight="1" x14ac:dyDescent="0.25">
      <c r="A243" s="4" t="s">
        <v>15</v>
      </c>
      <c r="B243" s="1">
        <v>4314336</v>
      </c>
      <c r="C243" s="35" t="s">
        <v>5987</v>
      </c>
      <c r="D243" s="29" t="s">
        <v>1144</v>
      </c>
      <c r="E243" s="1" t="s">
        <v>1145</v>
      </c>
      <c r="F243" s="1" t="s">
        <v>1146</v>
      </c>
      <c r="G243" s="4" t="s">
        <v>5584</v>
      </c>
      <c r="H243" s="4" t="s">
        <v>5716</v>
      </c>
      <c r="I243" s="4" t="s">
        <v>5675</v>
      </c>
      <c r="J243" s="2">
        <v>34843</v>
      </c>
      <c r="K243" s="1" t="s">
        <v>19</v>
      </c>
      <c r="L243" s="1" t="s">
        <v>20</v>
      </c>
      <c r="M243" s="1" t="s">
        <v>1147</v>
      </c>
      <c r="N243" s="1" t="s">
        <v>1148</v>
      </c>
      <c r="O243" s="1" t="s">
        <v>23</v>
      </c>
      <c r="P243" s="1" t="s">
        <v>1149</v>
      </c>
      <c r="Q243" s="1">
        <f>31-637338526</f>
        <v>-637338495</v>
      </c>
      <c r="R243" s="1">
        <v>2013</v>
      </c>
    </row>
    <row r="244" spans="1:19" ht="15" customHeight="1" x14ac:dyDescent="0.25">
      <c r="A244" s="4" t="s">
        <v>15</v>
      </c>
      <c r="B244" s="1">
        <v>4304144</v>
      </c>
      <c r="C244" s="35" t="s">
        <v>5988</v>
      </c>
      <c r="D244" s="29" t="s">
        <v>1193</v>
      </c>
      <c r="E244" s="1" t="s">
        <v>1194</v>
      </c>
      <c r="F244" s="1" t="s">
        <v>1195</v>
      </c>
      <c r="G244" s="4" t="s">
        <v>5584</v>
      </c>
      <c r="H244" s="4" t="s">
        <v>5716</v>
      </c>
      <c r="I244" s="4" t="s">
        <v>5675</v>
      </c>
      <c r="J244" s="2">
        <v>34653</v>
      </c>
      <c r="K244" s="1" t="s">
        <v>19</v>
      </c>
      <c r="L244" s="1" t="s">
        <v>111</v>
      </c>
      <c r="M244" s="1" t="s">
        <v>1196</v>
      </c>
      <c r="N244" s="1" t="s">
        <v>1197</v>
      </c>
      <c r="O244" s="1" t="s">
        <v>23</v>
      </c>
      <c r="P244" s="1" t="s">
        <v>1198</v>
      </c>
      <c r="R244" s="1">
        <v>2013</v>
      </c>
    </row>
    <row r="245" spans="1:19" ht="15" customHeight="1" x14ac:dyDescent="0.25">
      <c r="A245" s="4" t="s">
        <v>15</v>
      </c>
      <c r="B245" s="1">
        <v>4323653</v>
      </c>
      <c r="C245" s="35" t="s">
        <v>5989</v>
      </c>
      <c r="D245" s="29" t="s">
        <v>1161</v>
      </c>
      <c r="E245" s="1" t="s">
        <v>1162</v>
      </c>
      <c r="F245" s="1" t="s">
        <v>943</v>
      </c>
      <c r="G245" s="4" t="s">
        <v>5584</v>
      </c>
      <c r="H245" s="4" t="s">
        <v>5716</v>
      </c>
      <c r="I245" s="4" t="s">
        <v>5675</v>
      </c>
      <c r="J245" s="2">
        <v>34698</v>
      </c>
      <c r="K245" s="1" t="s">
        <v>19</v>
      </c>
      <c r="L245" s="1" t="s">
        <v>20</v>
      </c>
      <c r="M245" s="1" t="s">
        <v>1163</v>
      </c>
      <c r="N245" s="1" t="s">
        <v>1164</v>
      </c>
      <c r="O245" s="1" t="s">
        <v>23</v>
      </c>
      <c r="P245" s="1" t="s">
        <v>1165</v>
      </c>
      <c r="Q245" s="1">
        <f>31-646388881</f>
        <v>-646388850</v>
      </c>
      <c r="R245" s="1">
        <v>2013</v>
      </c>
    </row>
    <row r="246" spans="1:19" ht="15" customHeight="1" x14ac:dyDescent="0.25">
      <c r="A246" s="4" t="s">
        <v>15</v>
      </c>
      <c r="B246" s="1">
        <v>4295218</v>
      </c>
      <c r="C246" s="35" t="s">
        <v>5990</v>
      </c>
      <c r="D246" s="29" t="s">
        <v>1166</v>
      </c>
      <c r="E246" s="1" t="s">
        <v>1167</v>
      </c>
      <c r="F246" s="1" t="s">
        <v>1168</v>
      </c>
      <c r="G246" s="4" t="s">
        <v>5584</v>
      </c>
      <c r="H246" s="4" t="s">
        <v>5716</v>
      </c>
      <c r="I246" s="4" t="s">
        <v>5675</v>
      </c>
      <c r="J246" s="2">
        <v>34926</v>
      </c>
      <c r="K246" s="1" t="s">
        <v>19</v>
      </c>
      <c r="L246" s="1" t="s">
        <v>20</v>
      </c>
      <c r="M246" s="1" t="s">
        <v>1169</v>
      </c>
      <c r="N246" s="1" t="s">
        <v>1170</v>
      </c>
      <c r="O246" s="1" t="s">
        <v>23</v>
      </c>
      <c r="P246" s="1" t="s">
        <v>1171</v>
      </c>
      <c r="Q246" s="1">
        <f>31-618448167</f>
        <v>-618448136</v>
      </c>
      <c r="R246" s="1">
        <v>2013</v>
      </c>
    </row>
    <row r="247" spans="1:19" ht="15" customHeight="1" x14ac:dyDescent="0.25">
      <c r="A247" s="4" t="s">
        <v>15</v>
      </c>
      <c r="B247" s="1">
        <v>4286405</v>
      </c>
      <c r="C247" s="35" t="s">
        <v>5991</v>
      </c>
      <c r="D247" s="29" t="s">
        <v>1181</v>
      </c>
      <c r="E247" s="1" t="s">
        <v>1182</v>
      </c>
      <c r="F247" s="1" t="s">
        <v>1183</v>
      </c>
      <c r="G247" s="4" t="s">
        <v>5584</v>
      </c>
      <c r="H247" s="4" t="s">
        <v>5716</v>
      </c>
      <c r="I247" s="4" t="s">
        <v>5675</v>
      </c>
      <c r="J247" s="2">
        <v>34655</v>
      </c>
      <c r="K247" s="1" t="s">
        <v>19</v>
      </c>
      <c r="L247" s="1" t="s">
        <v>20</v>
      </c>
      <c r="M247" s="1" t="s">
        <v>1184</v>
      </c>
      <c r="N247" s="1" t="s">
        <v>1185</v>
      </c>
      <c r="O247" s="1" t="s">
        <v>23</v>
      </c>
      <c r="P247" s="1" t="s">
        <v>1186</v>
      </c>
      <c r="Q247" s="1">
        <f>31-644920986</f>
        <v>-644920955</v>
      </c>
      <c r="R247" s="1">
        <v>2013</v>
      </c>
    </row>
    <row r="248" spans="1:19" ht="15" customHeight="1" x14ac:dyDescent="0.25">
      <c r="A248" s="4" t="s">
        <v>15</v>
      </c>
      <c r="B248" s="1">
        <v>4217055</v>
      </c>
      <c r="C248" s="35" t="s">
        <v>5992</v>
      </c>
      <c r="D248" s="29" t="s">
        <v>1205</v>
      </c>
      <c r="E248" s="1" t="s">
        <v>1206</v>
      </c>
      <c r="F248" s="1" t="s">
        <v>1207</v>
      </c>
      <c r="G248" s="4" t="s">
        <v>5585</v>
      </c>
      <c r="H248" s="4" t="s">
        <v>5716</v>
      </c>
      <c r="I248" s="4" t="s">
        <v>5676</v>
      </c>
      <c r="J248" s="2">
        <v>34500</v>
      </c>
      <c r="K248" s="1" t="s">
        <v>19</v>
      </c>
      <c r="L248" s="1" t="s">
        <v>20</v>
      </c>
      <c r="M248" s="1" t="s">
        <v>1208</v>
      </c>
      <c r="N248" s="1" t="s">
        <v>1209</v>
      </c>
      <c r="O248" s="1" t="s">
        <v>23</v>
      </c>
      <c r="P248" s="1" t="s">
        <v>1210</v>
      </c>
      <c r="Q248" s="1">
        <f>31-648361863</f>
        <v>-648361832</v>
      </c>
      <c r="R248" s="1">
        <v>2012</v>
      </c>
      <c r="S248" s="1" t="s">
        <v>5233</v>
      </c>
    </row>
    <row r="249" spans="1:19" ht="15" customHeight="1" x14ac:dyDescent="0.25">
      <c r="A249" s="4" t="s">
        <v>15</v>
      </c>
      <c r="B249" s="1">
        <v>4307887</v>
      </c>
      <c r="C249" s="35" t="s">
        <v>5993</v>
      </c>
      <c r="D249" s="29" t="s">
        <v>1262</v>
      </c>
      <c r="E249" s="1" t="s">
        <v>1263</v>
      </c>
      <c r="F249" s="1" t="s">
        <v>1264</v>
      </c>
      <c r="G249" s="4" t="s">
        <v>5585</v>
      </c>
      <c r="H249" s="4" t="s">
        <v>5716</v>
      </c>
      <c r="I249" s="4" t="s">
        <v>5676</v>
      </c>
      <c r="J249" s="2">
        <v>35016</v>
      </c>
      <c r="K249" s="1" t="s">
        <v>19</v>
      </c>
      <c r="L249" s="1" t="s">
        <v>111</v>
      </c>
      <c r="M249" s="1" t="s">
        <v>1265</v>
      </c>
      <c r="N249" s="1" t="s">
        <v>1266</v>
      </c>
      <c r="O249" s="1" t="s">
        <v>23</v>
      </c>
      <c r="P249" s="1" t="s">
        <v>1267</v>
      </c>
      <c r="Q249" s="1">
        <f>31-618449585</f>
        <v>-618449554</v>
      </c>
      <c r="R249" s="1">
        <v>2013</v>
      </c>
    </row>
    <row r="250" spans="1:19" ht="15" customHeight="1" x14ac:dyDescent="0.25">
      <c r="A250" s="4" t="s">
        <v>15</v>
      </c>
      <c r="B250" s="1">
        <v>4209893</v>
      </c>
      <c r="C250" s="35" t="s">
        <v>5994</v>
      </c>
      <c r="D250" s="29" t="s">
        <v>3754</v>
      </c>
      <c r="E250" s="1" t="s">
        <v>3755</v>
      </c>
      <c r="F250" s="1" t="s">
        <v>528</v>
      </c>
      <c r="G250" s="4" t="s">
        <v>5585</v>
      </c>
      <c r="H250" s="4" t="s">
        <v>5716</v>
      </c>
      <c r="I250" s="4" t="s">
        <v>5676</v>
      </c>
      <c r="J250" s="2">
        <v>34323</v>
      </c>
      <c r="K250" s="1" t="s">
        <v>19</v>
      </c>
      <c r="L250" s="1" t="s">
        <v>20</v>
      </c>
      <c r="M250" s="1" t="s">
        <v>3756</v>
      </c>
      <c r="N250" s="1" t="s">
        <v>3757</v>
      </c>
      <c r="O250" s="1" t="s">
        <v>23</v>
      </c>
      <c r="P250" s="1" t="s">
        <v>3758</v>
      </c>
      <c r="Q250" s="1">
        <f>31-611167955</f>
        <v>-611167924</v>
      </c>
      <c r="R250" s="1">
        <v>2012</v>
      </c>
      <c r="S250" s="1" t="s">
        <v>88</v>
      </c>
    </row>
    <row r="251" spans="1:19" ht="15" customHeight="1" x14ac:dyDescent="0.25">
      <c r="A251" s="4" t="s">
        <v>15</v>
      </c>
      <c r="B251" s="1">
        <v>4319125</v>
      </c>
      <c r="C251" s="35" t="s">
        <v>5995</v>
      </c>
      <c r="D251" s="29" t="s">
        <v>1211</v>
      </c>
      <c r="E251" s="1" t="s">
        <v>1212</v>
      </c>
      <c r="F251" s="1" t="s">
        <v>425</v>
      </c>
      <c r="G251" s="4" t="s">
        <v>5585</v>
      </c>
      <c r="H251" s="4" t="s">
        <v>5716</v>
      </c>
      <c r="I251" s="4" t="s">
        <v>5676</v>
      </c>
      <c r="J251" s="2">
        <v>34246</v>
      </c>
      <c r="K251" s="1" t="s">
        <v>19</v>
      </c>
      <c r="L251" s="1" t="s">
        <v>20</v>
      </c>
      <c r="M251" s="1" t="s">
        <v>1213</v>
      </c>
      <c r="N251" s="1" t="s">
        <v>1214</v>
      </c>
      <c r="O251" s="1" t="s">
        <v>23</v>
      </c>
      <c r="P251" s="1" t="s">
        <v>1215</v>
      </c>
      <c r="Q251" s="1">
        <f>31-634447566</f>
        <v>-634447535</v>
      </c>
      <c r="R251" s="1">
        <v>2013</v>
      </c>
    </row>
    <row r="252" spans="1:19" ht="15" customHeight="1" x14ac:dyDescent="0.25">
      <c r="A252" s="4" t="s">
        <v>15</v>
      </c>
      <c r="B252" s="1">
        <v>4291298</v>
      </c>
      <c r="C252" s="35" t="s">
        <v>5996</v>
      </c>
      <c r="D252" s="29" t="s">
        <v>3759</v>
      </c>
      <c r="E252" s="1" t="s">
        <v>3760</v>
      </c>
      <c r="F252" s="1" t="s">
        <v>84</v>
      </c>
      <c r="G252" s="4" t="s">
        <v>5585</v>
      </c>
      <c r="H252" s="4" t="s">
        <v>5716</v>
      </c>
      <c r="I252" s="4" t="s">
        <v>5676</v>
      </c>
      <c r="J252" s="2">
        <v>34985</v>
      </c>
      <c r="K252" s="1" t="s">
        <v>19</v>
      </c>
      <c r="L252" s="1" t="s">
        <v>20</v>
      </c>
      <c r="M252" s="1" t="s">
        <v>3761</v>
      </c>
      <c r="N252" s="1" t="s">
        <v>3762</v>
      </c>
      <c r="O252" s="1" t="s">
        <v>23</v>
      </c>
      <c r="P252" s="1" t="s">
        <v>3763</v>
      </c>
      <c r="Q252" s="1">
        <f>31-641800979</f>
        <v>-641800948</v>
      </c>
      <c r="R252" s="1">
        <v>2013</v>
      </c>
    </row>
    <row r="253" spans="1:19" ht="15" customHeight="1" x14ac:dyDescent="0.25">
      <c r="A253" s="4" t="s">
        <v>15</v>
      </c>
      <c r="B253" s="1">
        <v>4296214</v>
      </c>
      <c r="C253" s="35" t="s">
        <v>5997</v>
      </c>
      <c r="D253" s="29" t="s">
        <v>1228</v>
      </c>
      <c r="E253" s="1" t="s">
        <v>1229</v>
      </c>
      <c r="F253" s="1" t="s">
        <v>1230</v>
      </c>
      <c r="G253" s="4" t="s">
        <v>5585</v>
      </c>
      <c r="H253" s="4" t="s">
        <v>5716</v>
      </c>
      <c r="I253" s="4" t="s">
        <v>5676</v>
      </c>
      <c r="J253" s="2">
        <v>34755</v>
      </c>
      <c r="K253" s="1" t="s">
        <v>19</v>
      </c>
      <c r="L253" s="1" t="s">
        <v>20</v>
      </c>
      <c r="M253" s="1" t="s">
        <v>1231</v>
      </c>
      <c r="N253" s="1" t="s">
        <v>1232</v>
      </c>
      <c r="O253" s="1" t="s">
        <v>23</v>
      </c>
      <c r="P253" s="1" t="s">
        <v>1233</v>
      </c>
      <c r="Q253" s="1">
        <f>31-636121120</f>
        <v>-636121089</v>
      </c>
      <c r="R253" s="1">
        <v>2013</v>
      </c>
    </row>
    <row r="254" spans="1:19" ht="15" customHeight="1" x14ac:dyDescent="0.25">
      <c r="A254" s="4" t="s">
        <v>15</v>
      </c>
      <c r="B254" s="1">
        <v>4299140</v>
      </c>
      <c r="C254" s="35" t="s">
        <v>5998</v>
      </c>
      <c r="D254" s="29" t="s">
        <v>1252</v>
      </c>
      <c r="E254" s="1" t="s">
        <v>1253</v>
      </c>
      <c r="F254" s="1" t="s">
        <v>637</v>
      </c>
      <c r="G254" s="4" t="s">
        <v>5585</v>
      </c>
      <c r="H254" s="4" t="s">
        <v>5716</v>
      </c>
      <c r="I254" s="4" t="s">
        <v>5676</v>
      </c>
      <c r="J254" s="2">
        <v>34601</v>
      </c>
      <c r="K254" s="1" t="s">
        <v>19</v>
      </c>
      <c r="L254" s="1" t="s">
        <v>20</v>
      </c>
      <c r="M254" s="1" t="s">
        <v>1254</v>
      </c>
      <c r="N254" s="1" t="s">
        <v>1255</v>
      </c>
      <c r="O254" s="1" t="s">
        <v>23</v>
      </c>
      <c r="P254" s="1" t="s">
        <v>1256</v>
      </c>
      <c r="Q254" s="1">
        <f>31-640959982</f>
        <v>-640959951</v>
      </c>
      <c r="R254" s="1">
        <v>2013</v>
      </c>
    </row>
    <row r="255" spans="1:19" ht="15" customHeight="1" x14ac:dyDescent="0.25">
      <c r="A255" s="4" t="s">
        <v>15</v>
      </c>
      <c r="B255" s="1">
        <v>4298845</v>
      </c>
      <c r="C255" s="35" t="s">
        <v>5999</v>
      </c>
      <c r="D255" s="29" t="s">
        <v>1257</v>
      </c>
      <c r="E255" s="1" t="s">
        <v>1258</v>
      </c>
      <c r="F255" s="1" t="s">
        <v>539</v>
      </c>
      <c r="G255" s="4" t="s">
        <v>5585</v>
      </c>
      <c r="H255" s="4" t="s">
        <v>5716</v>
      </c>
      <c r="I255" s="4" t="s">
        <v>5676</v>
      </c>
      <c r="J255" s="2">
        <v>34687</v>
      </c>
      <c r="K255" s="1" t="s">
        <v>19</v>
      </c>
      <c r="L255" s="1" t="s">
        <v>20</v>
      </c>
      <c r="M255" s="1" t="s">
        <v>1259</v>
      </c>
      <c r="N255" s="1" t="s">
        <v>1260</v>
      </c>
      <c r="O255" s="1" t="s">
        <v>23</v>
      </c>
      <c r="P255" s="1" t="s">
        <v>1261</v>
      </c>
      <c r="Q255" s="1">
        <f>31-628823169</f>
        <v>-628823138</v>
      </c>
      <c r="R255" s="1">
        <v>2013</v>
      </c>
    </row>
    <row r="256" spans="1:19" ht="15" customHeight="1" x14ac:dyDescent="0.25">
      <c r="A256" s="4" t="s">
        <v>15</v>
      </c>
      <c r="B256" s="1">
        <v>4330021</v>
      </c>
      <c r="C256" s="35" t="s">
        <v>6000</v>
      </c>
      <c r="D256" s="29" t="s">
        <v>1314</v>
      </c>
      <c r="E256" s="1" t="s">
        <v>1315</v>
      </c>
      <c r="F256" s="1" t="s">
        <v>1316</v>
      </c>
      <c r="G256" s="4" t="s">
        <v>5586</v>
      </c>
      <c r="H256" s="4" t="s">
        <v>5716</v>
      </c>
      <c r="I256" s="4" t="s">
        <v>5676</v>
      </c>
      <c r="J256" s="2">
        <v>34899</v>
      </c>
      <c r="K256" s="1" t="s">
        <v>19</v>
      </c>
      <c r="L256" s="1" t="s">
        <v>111</v>
      </c>
      <c r="M256" s="1" t="s">
        <v>1317</v>
      </c>
      <c r="N256" s="1" t="s">
        <v>1318</v>
      </c>
      <c r="O256" s="1" t="s">
        <v>23</v>
      </c>
      <c r="P256" s="1" t="s">
        <v>1319</v>
      </c>
      <c r="Q256" s="1">
        <f>31-634915580</f>
        <v>-634915549</v>
      </c>
      <c r="R256" s="1">
        <v>2013</v>
      </c>
    </row>
    <row r="257" spans="1:18" ht="15" customHeight="1" x14ac:dyDescent="0.25">
      <c r="A257" s="4" t="s">
        <v>15</v>
      </c>
      <c r="B257" s="1">
        <v>4280571</v>
      </c>
      <c r="C257" s="35" t="s">
        <v>6001</v>
      </c>
      <c r="D257" s="29" t="s">
        <v>1279</v>
      </c>
      <c r="E257" s="1" t="s">
        <v>1280</v>
      </c>
      <c r="F257" s="1" t="s">
        <v>1281</v>
      </c>
      <c r="G257" s="4" t="s">
        <v>5586</v>
      </c>
      <c r="H257" s="4" t="s">
        <v>5716</v>
      </c>
      <c r="I257" s="4" t="s">
        <v>5676</v>
      </c>
      <c r="J257" s="2">
        <v>34673</v>
      </c>
      <c r="K257" s="1" t="s">
        <v>19</v>
      </c>
      <c r="L257" s="1" t="s">
        <v>20</v>
      </c>
      <c r="M257" s="1" t="s">
        <v>1282</v>
      </c>
      <c r="N257" s="1" t="s">
        <v>1283</v>
      </c>
      <c r="O257" s="1" t="s">
        <v>23</v>
      </c>
      <c r="P257" s="1" t="s">
        <v>1284</v>
      </c>
      <c r="Q257" s="1">
        <f>31-614453983</f>
        <v>-614453952</v>
      </c>
      <c r="R257" s="1">
        <v>2013</v>
      </c>
    </row>
    <row r="258" spans="1:18" ht="15" customHeight="1" x14ac:dyDescent="0.25">
      <c r="A258" s="4" t="s">
        <v>15</v>
      </c>
      <c r="B258" s="1">
        <v>4314131</v>
      </c>
      <c r="C258" s="35" t="s">
        <v>6002</v>
      </c>
      <c r="D258" s="29" t="s">
        <v>3644</v>
      </c>
      <c r="E258" s="1" t="s">
        <v>3645</v>
      </c>
      <c r="F258" s="1" t="s">
        <v>3646</v>
      </c>
      <c r="G258" s="4" t="s">
        <v>5586</v>
      </c>
      <c r="H258" s="4" t="s">
        <v>5716</v>
      </c>
      <c r="I258" s="4" t="s">
        <v>5676</v>
      </c>
      <c r="J258" s="2">
        <v>34815</v>
      </c>
      <c r="K258" s="1" t="s">
        <v>19</v>
      </c>
      <c r="L258" s="1" t="s">
        <v>20</v>
      </c>
      <c r="M258" s="1" t="s">
        <v>3647</v>
      </c>
      <c r="N258" s="1" t="s">
        <v>3648</v>
      </c>
      <c r="O258" s="1" t="s">
        <v>23</v>
      </c>
      <c r="P258" s="1" t="s">
        <v>3649</v>
      </c>
      <c r="Q258" s="1">
        <f>31-629365708</f>
        <v>-629365677</v>
      </c>
      <c r="R258" s="1">
        <v>2013</v>
      </c>
    </row>
    <row r="259" spans="1:18" ht="15" customHeight="1" x14ac:dyDescent="0.25">
      <c r="A259" s="4" t="s">
        <v>15</v>
      </c>
      <c r="B259" s="1">
        <v>4278631</v>
      </c>
      <c r="C259" s="35" t="s">
        <v>6003</v>
      </c>
      <c r="D259" s="29" t="s">
        <v>1285</v>
      </c>
      <c r="E259" s="1" t="s">
        <v>1286</v>
      </c>
      <c r="F259" s="1" t="s">
        <v>366</v>
      </c>
      <c r="G259" s="4" t="s">
        <v>5586</v>
      </c>
      <c r="H259" s="4" t="s">
        <v>5716</v>
      </c>
      <c r="I259" s="4" t="s">
        <v>5676</v>
      </c>
      <c r="J259" s="2">
        <v>34698</v>
      </c>
      <c r="K259" s="1" t="s">
        <v>19</v>
      </c>
      <c r="L259" s="1" t="s">
        <v>20</v>
      </c>
      <c r="M259" s="1" t="s">
        <v>1287</v>
      </c>
      <c r="N259" s="1" t="s">
        <v>1288</v>
      </c>
      <c r="O259" s="1" t="s">
        <v>23</v>
      </c>
      <c r="P259" s="1" t="s">
        <v>1289</v>
      </c>
      <c r="Q259" s="1">
        <f>31-653593215</f>
        <v>-653593184</v>
      </c>
      <c r="R259" s="1">
        <v>2013</v>
      </c>
    </row>
    <row r="260" spans="1:18" ht="15" customHeight="1" x14ac:dyDescent="0.25">
      <c r="A260" s="4" t="s">
        <v>15</v>
      </c>
      <c r="B260" s="1">
        <v>4297458</v>
      </c>
      <c r="C260" s="35" t="s">
        <v>6004</v>
      </c>
      <c r="D260" s="29" t="s">
        <v>1290</v>
      </c>
      <c r="E260" s="1" t="s">
        <v>1291</v>
      </c>
      <c r="F260" s="1" t="s">
        <v>1292</v>
      </c>
      <c r="G260" s="4" t="s">
        <v>5586</v>
      </c>
      <c r="H260" s="4" t="s">
        <v>5716</v>
      </c>
      <c r="I260" s="4" t="s">
        <v>5676</v>
      </c>
      <c r="J260" s="2">
        <v>34729</v>
      </c>
      <c r="K260" s="1" t="s">
        <v>19</v>
      </c>
      <c r="L260" s="1" t="s">
        <v>20</v>
      </c>
      <c r="M260" s="1" t="s">
        <v>1293</v>
      </c>
      <c r="N260" s="1" t="s">
        <v>1294</v>
      </c>
      <c r="O260" s="1" t="s">
        <v>23</v>
      </c>
      <c r="P260" s="1" t="s">
        <v>1295</v>
      </c>
      <c r="Q260" s="1">
        <f>31-633659954</f>
        <v>-633659923</v>
      </c>
      <c r="R260" s="1">
        <v>2013</v>
      </c>
    </row>
    <row r="261" spans="1:18" ht="15" customHeight="1" x14ac:dyDescent="0.25">
      <c r="A261" s="4" t="s">
        <v>15</v>
      </c>
      <c r="B261" s="1">
        <v>4277007</v>
      </c>
      <c r="C261" s="35" t="s">
        <v>6005</v>
      </c>
      <c r="D261" s="29" t="s">
        <v>1296</v>
      </c>
      <c r="E261" s="1" t="s">
        <v>1297</v>
      </c>
      <c r="F261" s="1" t="s">
        <v>1298</v>
      </c>
      <c r="G261" s="4" t="s">
        <v>5586</v>
      </c>
      <c r="H261" s="4" t="s">
        <v>5716</v>
      </c>
      <c r="I261" s="4" t="s">
        <v>5676</v>
      </c>
      <c r="J261" s="2">
        <v>34808</v>
      </c>
      <c r="K261" s="1" t="s">
        <v>19</v>
      </c>
      <c r="L261" s="1" t="s">
        <v>20</v>
      </c>
      <c r="M261" s="1" t="s">
        <v>1299</v>
      </c>
      <c r="N261" s="1" t="s">
        <v>1300</v>
      </c>
      <c r="O261" s="1" t="s">
        <v>23</v>
      </c>
      <c r="P261" s="1" t="s">
        <v>1301</v>
      </c>
      <c r="Q261" s="1">
        <f>31-621564937</f>
        <v>-621564906</v>
      </c>
      <c r="R261" s="1">
        <v>2013</v>
      </c>
    </row>
    <row r="262" spans="1:18" ht="15" customHeight="1" x14ac:dyDescent="0.25">
      <c r="A262" s="4" t="s">
        <v>15</v>
      </c>
      <c r="B262" s="1">
        <v>4323521</v>
      </c>
      <c r="C262" s="35" t="s">
        <v>6006</v>
      </c>
      <c r="D262" s="29" t="s">
        <v>1302</v>
      </c>
      <c r="E262" s="1" t="s">
        <v>1303</v>
      </c>
      <c r="F262" s="1" t="s">
        <v>1304</v>
      </c>
      <c r="G262" s="4" t="s">
        <v>5586</v>
      </c>
      <c r="H262" s="4" t="s">
        <v>5716</v>
      </c>
      <c r="I262" s="4" t="s">
        <v>5676</v>
      </c>
      <c r="J262" s="2">
        <v>34192</v>
      </c>
      <c r="K262" s="1" t="s">
        <v>19</v>
      </c>
      <c r="L262" s="1" t="s">
        <v>20</v>
      </c>
      <c r="M262" s="1" t="s">
        <v>1305</v>
      </c>
      <c r="N262" s="1" t="s">
        <v>1306</v>
      </c>
      <c r="O262" s="1" t="s">
        <v>23</v>
      </c>
      <c r="P262" s="1" t="s">
        <v>1307</v>
      </c>
      <c r="Q262" s="1">
        <f>31-620102009</f>
        <v>-620101978</v>
      </c>
      <c r="R262" s="1">
        <v>2013</v>
      </c>
    </row>
    <row r="263" spans="1:18" ht="15" customHeight="1" x14ac:dyDescent="0.25">
      <c r="A263" s="4" t="s">
        <v>15</v>
      </c>
      <c r="B263" s="1">
        <v>4273877</v>
      </c>
      <c r="C263" s="35" t="s">
        <v>6007</v>
      </c>
      <c r="D263" s="29" t="s">
        <v>1308</v>
      </c>
      <c r="E263" s="1" t="s">
        <v>1309</v>
      </c>
      <c r="F263" s="1" t="s">
        <v>1310</v>
      </c>
      <c r="G263" s="4" t="s">
        <v>5586</v>
      </c>
      <c r="H263" s="4" t="s">
        <v>5716</v>
      </c>
      <c r="I263" s="4" t="s">
        <v>5676</v>
      </c>
      <c r="J263" s="2">
        <v>34874</v>
      </c>
      <c r="K263" s="1" t="s">
        <v>19</v>
      </c>
      <c r="L263" s="1" t="s">
        <v>20</v>
      </c>
      <c r="M263" s="1" t="s">
        <v>1311</v>
      </c>
      <c r="N263" s="1" t="s">
        <v>1312</v>
      </c>
      <c r="O263" s="1" t="s">
        <v>23</v>
      </c>
      <c r="P263" s="1" t="s">
        <v>1313</v>
      </c>
      <c r="Q263" s="1">
        <f>31-622861757</f>
        <v>-622861726</v>
      </c>
      <c r="R263" s="1">
        <v>2013</v>
      </c>
    </row>
    <row r="264" spans="1:18" ht="15" customHeight="1" x14ac:dyDescent="0.25">
      <c r="A264" s="4" t="s">
        <v>15</v>
      </c>
      <c r="B264" s="1">
        <v>4327217</v>
      </c>
      <c r="C264" s="35" t="s">
        <v>6008</v>
      </c>
      <c r="D264" s="29" t="s">
        <v>1320</v>
      </c>
      <c r="E264" s="1" t="s">
        <v>1321</v>
      </c>
      <c r="F264" s="1" t="s">
        <v>342</v>
      </c>
      <c r="G264" s="4" t="s">
        <v>5587</v>
      </c>
      <c r="H264" s="4" t="s">
        <v>5716</v>
      </c>
      <c r="I264" s="4" t="s">
        <v>5677</v>
      </c>
      <c r="J264" s="2">
        <v>34531</v>
      </c>
      <c r="K264" s="1" t="s">
        <v>19</v>
      </c>
      <c r="L264" s="1" t="s">
        <v>20</v>
      </c>
      <c r="M264" s="1" t="s">
        <v>1322</v>
      </c>
      <c r="N264" s="1" t="s">
        <v>1323</v>
      </c>
      <c r="O264" s="1" t="s">
        <v>23</v>
      </c>
      <c r="P264" s="1" t="s">
        <v>1324</v>
      </c>
      <c r="Q264" s="1">
        <f>31-646711198</f>
        <v>-646711167</v>
      </c>
      <c r="R264" s="1">
        <v>2013</v>
      </c>
    </row>
    <row r="265" spans="1:18" ht="15" customHeight="1" x14ac:dyDescent="0.25">
      <c r="A265" s="4" t="s">
        <v>15</v>
      </c>
      <c r="B265" s="1">
        <v>4099982</v>
      </c>
      <c r="C265" s="35" t="s">
        <v>6009</v>
      </c>
      <c r="D265" s="29" t="s">
        <v>1325</v>
      </c>
      <c r="E265" s="1" t="s">
        <v>1326</v>
      </c>
      <c r="F265" s="1" t="s">
        <v>1327</v>
      </c>
      <c r="G265" s="4" t="s">
        <v>5587</v>
      </c>
      <c r="H265" s="4" t="s">
        <v>5716</v>
      </c>
      <c r="I265" s="4" t="s">
        <v>5677</v>
      </c>
      <c r="J265" s="2">
        <v>33564</v>
      </c>
      <c r="K265" s="1" t="s">
        <v>19</v>
      </c>
      <c r="L265" s="1" t="s">
        <v>20</v>
      </c>
      <c r="M265" s="1" t="s">
        <v>1328</v>
      </c>
      <c r="N265" s="1" t="s">
        <v>1329</v>
      </c>
      <c r="O265" s="1" t="s">
        <v>23</v>
      </c>
      <c r="P265" s="1" t="s">
        <v>1330</v>
      </c>
      <c r="Q265" s="1">
        <f>31-644135767</f>
        <v>-644135736</v>
      </c>
      <c r="R265" s="1">
        <v>2013</v>
      </c>
    </row>
    <row r="266" spans="1:18" ht="15" customHeight="1" x14ac:dyDescent="0.25">
      <c r="A266" s="4" t="s">
        <v>15</v>
      </c>
      <c r="B266" s="1">
        <v>4231619</v>
      </c>
      <c r="C266" s="35" t="s">
        <v>6010</v>
      </c>
      <c r="D266" s="29" t="s">
        <v>1331</v>
      </c>
      <c r="E266" s="1" t="s">
        <v>1332</v>
      </c>
      <c r="F266" s="1" t="s">
        <v>354</v>
      </c>
      <c r="G266" s="4" t="s">
        <v>5587</v>
      </c>
      <c r="H266" s="4" t="s">
        <v>5716</v>
      </c>
      <c r="I266" s="4" t="s">
        <v>5677</v>
      </c>
      <c r="J266" s="2">
        <v>34094</v>
      </c>
      <c r="K266" s="1" t="s">
        <v>19</v>
      </c>
      <c r="L266" s="1" t="s">
        <v>20</v>
      </c>
      <c r="M266" s="1" t="s">
        <v>1333</v>
      </c>
      <c r="N266" s="1" t="s">
        <v>1334</v>
      </c>
      <c r="O266" s="1" t="s">
        <v>23</v>
      </c>
      <c r="P266" s="1" t="s">
        <v>1335</v>
      </c>
      <c r="Q266" s="1">
        <f>31-639477417</f>
        <v>-639477386</v>
      </c>
      <c r="R266" s="1">
        <v>2013</v>
      </c>
    </row>
    <row r="267" spans="1:18" ht="15" customHeight="1" x14ac:dyDescent="0.25">
      <c r="A267" s="4" t="s">
        <v>15</v>
      </c>
      <c r="B267" s="1">
        <v>4272722</v>
      </c>
      <c r="C267" s="35" t="s">
        <v>6011</v>
      </c>
      <c r="D267" s="29" t="s">
        <v>1336</v>
      </c>
      <c r="E267" s="1" t="s">
        <v>1337</v>
      </c>
      <c r="F267" s="1" t="s">
        <v>1338</v>
      </c>
      <c r="G267" s="4" t="s">
        <v>5587</v>
      </c>
      <c r="H267" s="4" t="s">
        <v>5716</v>
      </c>
      <c r="I267" s="4" t="s">
        <v>5677</v>
      </c>
      <c r="J267" s="2">
        <v>34364</v>
      </c>
      <c r="K267" s="1" t="s">
        <v>19</v>
      </c>
      <c r="L267" s="1" t="s">
        <v>20</v>
      </c>
      <c r="M267" s="1" t="s">
        <v>1339</v>
      </c>
      <c r="N267" s="1" t="s">
        <v>1340</v>
      </c>
      <c r="O267" s="1" t="s">
        <v>23</v>
      </c>
      <c r="P267" s="1" t="s">
        <v>1341</v>
      </c>
      <c r="Q267" s="1">
        <f>31-620720958</f>
        <v>-620720927</v>
      </c>
      <c r="R267" s="1">
        <v>2013</v>
      </c>
    </row>
    <row r="268" spans="1:18" ht="15" customHeight="1" x14ac:dyDescent="0.25">
      <c r="A268" s="4" t="s">
        <v>15</v>
      </c>
      <c r="B268" s="1">
        <v>4288971</v>
      </c>
      <c r="C268" s="35" t="s">
        <v>6012</v>
      </c>
      <c r="D268" s="29" t="s">
        <v>1342</v>
      </c>
      <c r="E268" s="1" t="s">
        <v>1343</v>
      </c>
      <c r="F268" s="1" t="s">
        <v>1236</v>
      </c>
      <c r="G268" s="4" t="s">
        <v>5587</v>
      </c>
      <c r="H268" s="4" t="s">
        <v>5716</v>
      </c>
      <c r="I268" s="4" t="s">
        <v>5677</v>
      </c>
      <c r="J268" s="2">
        <v>34888</v>
      </c>
      <c r="K268" s="1" t="s">
        <v>19</v>
      </c>
      <c r="L268" s="1" t="s">
        <v>20</v>
      </c>
      <c r="M268" s="1" t="s">
        <v>1344</v>
      </c>
      <c r="N268" s="1" t="s">
        <v>1345</v>
      </c>
      <c r="O268" s="1" t="s">
        <v>23</v>
      </c>
      <c r="P268" s="1" t="s">
        <v>1346</v>
      </c>
      <c r="Q268" s="1">
        <f>31-631351345</f>
        <v>-631351314</v>
      </c>
      <c r="R268" s="1">
        <v>2013</v>
      </c>
    </row>
    <row r="269" spans="1:18" ht="15" customHeight="1" x14ac:dyDescent="0.25">
      <c r="A269" s="4" t="s">
        <v>15</v>
      </c>
      <c r="B269" s="1">
        <v>4223748</v>
      </c>
      <c r="C269" s="35" t="s">
        <v>6013</v>
      </c>
      <c r="D269" s="29" t="s">
        <v>82</v>
      </c>
      <c r="E269" s="1" t="s">
        <v>1347</v>
      </c>
      <c r="F269" s="1" t="s">
        <v>928</v>
      </c>
      <c r="G269" s="4" t="s">
        <v>5587</v>
      </c>
      <c r="H269" s="4" t="s">
        <v>5716</v>
      </c>
      <c r="I269" s="4" t="s">
        <v>5677</v>
      </c>
      <c r="J269" s="2">
        <v>34395</v>
      </c>
      <c r="K269" s="1" t="s">
        <v>19</v>
      </c>
      <c r="L269" s="1" t="s">
        <v>20</v>
      </c>
      <c r="M269" s="1" t="s">
        <v>1348</v>
      </c>
      <c r="N269" s="1" t="s">
        <v>1349</v>
      </c>
      <c r="O269" s="1" t="s">
        <v>23</v>
      </c>
      <c r="P269" s="1" t="s">
        <v>1350</v>
      </c>
      <c r="R269" s="1">
        <v>2013</v>
      </c>
    </row>
    <row r="270" spans="1:18" ht="15" customHeight="1" x14ac:dyDescent="0.25">
      <c r="A270" s="4" t="s">
        <v>15</v>
      </c>
      <c r="B270" s="1">
        <v>4326571</v>
      </c>
      <c r="C270" s="35" t="s">
        <v>6014</v>
      </c>
      <c r="D270" s="29" t="s">
        <v>1351</v>
      </c>
      <c r="E270" s="1" t="s">
        <v>1352</v>
      </c>
      <c r="F270" s="1" t="s">
        <v>591</v>
      </c>
      <c r="G270" s="4" t="s">
        <v>5587</v>
      </c>
      <c r="H270" s="4" t="s">
        <v>5716</v>
      </c>
      <c r="I270" s="4" t="s">
        <v>5677</v>
      </c>
      <c r="J270" s="2">
        <v>34218</v>
      </c>
      <c r="K270" s="1" t="s">
        <v>19</v>
      </c>
      <c r="L270" s="1" t="s">
        <v>20</v>
      </c>
      <c r="M270" s="1" t="s">
        <v>1353</v>
      </c>
      <c r="N270" s="1" t="s">
        <v>1354</v>
      </c>
      <c r="O270" s="1" t="s">
        <v>23</v>
      </c>
      <c r="P270" s="1" t="s">
        <v>1355</v>
      </c>
      <c r="Q270" s="1">
        <f>31-643796205</f>
        <v>-643796174</v>
      </c>
      <c r="R270" s="1">
        <v>2013</v>
      </c>
    </row>
    <row r="271" spans="1:18" ht="15" customHeight="1" x14ac:dyDescent="0.25">
      <c r="A271" s="4" t="s">
        <v>15</v>
      </c>
      <c r="B271" s="1">
        <v>4100344</v>
      </c>
      <c r="C271" s="35" t="s">
        <v>6015</v>
      </c>
      <c r="D271" s="29" t="s">
        <v>1356</v>
      </c>
      <c r="E271" s="1" t="s">
        <v>1357</v>
      </c>
      <c r="F271" s="1" t="s">
        <v>1358</v>
      </c>
      <c r="G271" s="4" t="s">
        <v>5587</v>
      </c>
      <c r="H271" s="4" t="s">
        <v>5716</v>
      </c>
      <c r="I271" s="4" t="s">
        <v>5677</v>
      </c>
      <c r="J271" s="2">
        <v>33683</v>
      </c>
      <c r="K271" s="1" t="s">
        <v>19</v>
      </c>
      <c r="L271" s="1" t="s">
        <v>111</v>
      </c>
      <c r="M271" s="1" t="s">
        <v>1359</v>
      </c>
      <c r="N271" s="1" t="s">
        <v>1360</v>
      </c>
      <c r="O271" s="1" t="s">
        <v>23</v>
      </c>
      <c r="P271" s="1" t="s">
        <v>1361</v>
      </c>
      <c r="Q271" s="1">
        <f>31-647151591</f>
        <v>-647151560</v>
      </c>
      <c r="R271" s="1">
        <v>2013</v>
      </c>
    </row>
    <row r="272" spans="1:18" ht="15" customHeight="1" x14ac:dyDescent="0.25">
      <c r="A272" s="4" t="s">
        <v>15</v>
      </c>
      <c r="B272" s="1">
        <v>4312716</v>
      </c>
      <c r="C272" s="35" t="s">
        <v>6016</v>
      </c>
      <c r="D272" s="29" t="s">
        <v>1362</v>
      </c>
      <c r="E272" s="1" t="s">
        <v>1363</v>
      </c>
      <c r="F272" s="1" t="s">
        <v>928</v>
      </c>
      <c r="G272" s="4" t="s">
        <v>5588</v>
      </c>
      <c r="H272" s="4" t="s">
        <v>5716</v>
      </c>
      <c r="I272" s="4" t="s">
        <v>5677</v>
      </c>
      <c r="J272" s="2">
        <v>34726</v>
      </c>
      <c r="K272" s="1" t="s">
        <v>19</v>
      </c>
      <c r="L272" s="1" t="s">
        <v>20</v>
      </c>
      <c r="M272" s="1" t="s">
        <v>1364</v>
      </c>
      <c r="N272" s="1" t="s">
        <v>1365</v>
      </c>
      <c r="O272" s="1" t="s">
        <v>23</v>
      </c>
      <c r="P272" s="1" t="s">
        <v>1366</v>
      </c>
      <c r="Q272" s="1">
        <f>31-683579840</f>
        <v>-683579809</v>
      </c>
      <c r="R272" s="1">
        <v>2013</v>
      </c>
    </row>
    <row r="273" spans="1:20" ht="15" customHeight="1" x14ac:dyDescent="0.25">
      <c r="A273" s="4" t="s">
        <v>15</v>
      </c>
      <c r="B273" s="1">
        <v>4310276</v>
      </c>
      <c r="C273" s="35" t="s">
        <v>6017</v>
      </c>
      <c r="D273" s="29" t="s">
        <v>4043</v>
      </c>
      <c r="E273" s="1" t="s">
        <v>4044</v>
      </c>
      <c r="F273" s="1" t="s">
        <v>277</v>
      </c>
      <c r="G273" s="4" t="s">
        <v>5588</v>
      </c>
      <c r="H273" s="4" t="s">
        <v>5716</v>
      </c>
      <c r="I273" s="4" t="s">
        <v>5677</v>
      </c>
      <c r="J273" s="2">
        <v>34446</v>
      </c>
      <c r="K273" s="1" t="s">
        <v>19</v>
      </c>
      <c r="L273" s="1" t="s">
        <v>20</v>
      </c>
      <c r="M273" s="1" t="s">
        <v>4045</v>
      </c>
      <c r="N273" s="1" t="s">
        <v>4046</v>
      </c>
      <c r="O273" s="1" t="s">
        <v>23</v>
      </c>
      <c r="P273" s="1" t="s">
        <v>4047</v>
      </c>
      <c r="Q273" s="1">
        <f>31-610710910</f>
        <v>-610710879</v>
      </c>
      <c r="R273" s="1">
        <v>2013</v>
      </c>
    </row>
    <row r="274" spans="1:20" ht="15" customHeight="1" x14ac:dyDescent="0.25">
      <c r="A274" s="4" t="s">
        <v>15</v>
      </c>
      <c r="B274" s="1">
        <v>4160045</v>
      </c>
      <c r="C274" s="35" t="s">
        <v>6018</v>
      </c>
      <c r="D274" s="29" t="s">
        <v>1367</v>
      </c>
      <c r="E274" s="1" t="s">
        <v>1368</v>
      </c>
      <c r="F274" s="1" t="s">
        <v>805</v>
      </c>
      <c r="G274" s="4" t="s">
        <v>5588</v>
      </c>
      <c r="H274" s="4" t="s">
        <v>5716</v>
      </c>
      <c r="I274" s="4" t="s">
        <v>5677</v>
      </c>
      <c r="J274" s="2">
        <v>34122</v>
      </c>
      <c r="K274" s="1" t="s">
        <v>19</v>
      </c>
      <c r="L274" s="1" t="s">
        <v>20</v>
      </c>
      <c r="M274" s="1" t="s">
        <v>1369</v>
      </c>
      <c r="N274" s="1" t="s">
        <v>1370</v>
      </c>
      <c r="O274" s="1" t="s">
        <v>23</v>
      </c>
      <c r="P274" s="1" t="s">
        <v>1371</v>
      </c>
      <c r="Q274" s="1">
        <f>31-650915903</f>
        <v>-650915872</v>
      </c>
      <c r="R274" s="1">
        <v>2013</v>
      </c>
    </row>
    <row r="275" spans="1:20" ht="15" customHeight="1" x14ac:dyDescent="0.25">
      <c r="A275" s="4" t="s">
        <v>15</v>
      </c>
      <c r="B275" s="1">
        <v>4310322</v>
      </c>
      <c r="C275" s="35" t="s">
        <v>6019</v>
      </c>
      <c r="D275" s="29" t="s">
        <v>1372</v>
      </c>
      <c r="E275" s="1" t="s">
        <v>1373</v>
      </c>
      <c r="F275" s="1" t="s">
        <v>384</v>
      </c>
      <c r="G275" s="4" t="s">
        <v>5588</v>
      </c>
      <c r="H275" s="4" t="s">
        <v>5716</v>
      </c>
      <c r="I275" s="4" t="s">
        <v>5677</v>
      </c>
      <c r="J275" s="2">
        <v>35151</v>
      </c>
      <c r="K275" s="1" t="s">
        <v>19</v>
      </c>
      <c r="L275" s="1" t="s">
        <v>20</v>
      </c>
      <c r="M275" s="1" t="s">
        <v>1374</v>
      </c>
      <c r="N275" s="1" t="s">
        <v>1375</v>
      </c>
      <c r="O275" s="1" t="s">
        <v>23</v>
      </c>
      <c r="P275" s="1" t="s">
        <v>1376</v>
      </c>
      <c r="Q275" s="1">
        <f>31-612189351</f>
        <v>-612189320</v>
      </c>
      <c r="R275" s="1">
        <v>2013</v>
      </c>
    </row>
    <row r="276" spans="1:20" ht="15" customHeight="1" x14ac:dyDescent="0.25">
      <c r="A276" s="4" t="s">
        <v>15</v>
      </c>
      <c r="B276" s="1">
        <v>4313305</v>
      </c>
      <c r="C276" s="35" t="s">
        <v>6020</v>
      </c>
      <c r="D276" s="29" t="s">
        <v>1377</v>
      </c>
      <c r="E276" s="1" t="s">
        <v>1378</v>
      </c>
      <c r="F276" s="1" t="s">
        <v>384</v>
      </c>
      <c r="G276" s="4" t="s">
        <v>5588</v>
      </c>
      <c r="H276" s="4" t="s">
        <v>5716</v>
      </c>
      <c r="I276" s="4" t="s">
        <v>5677</v>
      </c>
      <c r="J276" s="2">
        <v>34878</v>
      </c>
      <c r="K276" s="1" t="s">
        <v>19</v>
      </c>
      <c r="L276" s="1" t="s">
        <v>20</v>
      </c>
      <c r="M276" s="1" t="s">
        <v>1379</v>
      </c>
      <c r="N276" s="1" t="s">
        <v>1380</v>
      </c>
      <c r="O276" s="1" t="s">
        <v>23</v>
      </c>
      <c r="P276" s="1" t="s">
        <v>1381</v>
      </c>
      <c r="Q276" s="1">
        <f>31-681033494</f>
        <v>-681033463</v>
      </c>
      <c r="R276" s="1">
        <v>2013</v>
      </c>
    </row>
    <row r="277" spans="1:20" ht="15" customHeight="1" x14ac:dyDescent="0.25">
      <c r="A277" s="4" t="s">
        <v>15</v>
      </c>
      <c r="B277" s="1">
        <v>4302990</v>
      </c>
      <c r="C277" s="35" t="s">
        <v>6021</v>
      </c>
      <c r="D277" s="29" t="s">
        <v>1382</v>
      </c>
      <c r="E277" s="1" t="s">
        <v>1383</v>
      </c>
      <c r="F277" s="1" t="s">
        <v>18</v>
      </c>
      <c r="G277" s="4" t="s">
        <v>5588</v>
      </c>
      <c r="H277" s="4" t="s">
        <v>5716</v>
      </c>
      <c r="I277" s="4" t="s">
        <v>5677</v>
      </c>
      <c r="J277" s="2">
        <v>34918</v>
      </c>
      <c r="K277" s="1" t="s">
        <v>19</v>
      </c>
      <c r="L277" s="1" t="s">
        <v>20</v>
      </c>
      <c r="M277" s="1" t="s">
        <v>1384</v>
      </c>
      <c r="N277" s="1" t="s">
        <v>1385</v>
      </c>
      <c r="O277" s="1" t="s">
        <v>23</v>
      </c>
      <c r="P277" s="1" t="s">
        <v>1386</v>
      </c>
      <c r="Q277" s="1">
        <f>31-639663043</f>
        <v>-639663012</v>
      </c>
      <c r="R277" s="1">
        <v>2013</v>
      </c>
    </row>
    <row r="278" spans="1:20" ht="15" customHeight="1" x14ac:dyDescent="0.25">
      <c r="A278" s="4" t="s">
        <v>15</v>
      </c>
      <c r="B278" s="1">
        <v>4328582</v>
      </c>
      <c r="C278" s="35" t="s">
        <v>6022</v>
      </c>
      <c r="D278" s="29" t="s">
        <v>1387</v>
      </c>
      <c r="E278" s="1" t="s">
        <v>1388</v>
      </c>
      <c r="F278" s="1" t="s">
        <v>342</v>
      </c>
      <c r="G278" s="4" t="s">
        <v>5588</v>
      </c>
      <c r="H278" s="4" t="s">
        <v>5716</v>
      </c>
      <c r="I278" s="4" t="s">
        <v>5677</v>
      </c>
      <c r="J278" s="2">
        <v>34464</v>
      </c>
      <c r="K278" s="1" t="s">
        <v>19</v>
      </c>
      <c r="L278" s="1" t="s">
        <v>20</v>
      </c>
      <c r="M278" s="1" t="s">
        <v>1389</v>
      </c>
      <c r="N278" s="1" t="s">
        <v>1390</v>
      </c>
      <c r="O278" s="1" t="s">
        <v>23</v>
      </c>
      <c r="P278" s="1" t="s">
        <v>1391</v>
      </c>
      <c r="Q278" s="1">
        <f>31-621197258</f>
        <v>-621197227</v>
      </c>
      <c r="R278" s="1">
        <v>2013</v>
      </c>
    </row>
    <row r="279" spans="1:20" ht="15" customHeight="1" x14ac:dyDescent="0.25">
      <c r="A279" s="4" t="s">
        <v>15</v>
      </c>
      <c r="B279" s="1">
        <v>1549669</v>
      </c>
      <c r="C279" s="35" t="s">
        <v>6023</v>
      </c>
      <c r="D279" s="29" t="s">
        <v>5214</v>
      </c>
      <c r="E279" s="1" t="s">
        <v>5215</v>
      </c>
      <c r="F279" s="1" t="s">
        <v>2319</v>
      </c>
      <c r="G279" s="4" t="s">
        <v>5588</v>
      </c>
      <c r="H279" s="4" t="s">
        <v>5716</v>
      </c>
      <c r="I279" s="4" t="s">
        <v>5677</v>
      </c>
      <c r="J279" s="2">
        <v>32799</v>
      </c>
      <c r="K279" s="1" t="s">
        <v>19</v>
      </c>
      <c r="L279" s="1" t="s">
        <v>20</v>
      </c>
      <c r="R279" s="1">
        <v>2013</v>
      </c>
      <c r="T279" s="1" t="s">
        <v>5216</v>
      </c>
    </row>
    <row r="280" spans="1:20" ht="15" customHeight="1" x14ac:dyDescent="0.25">
      <c r="A280" s="4" t="s">
        <v>15</v>
      </c>
      <c r="B280" s="1">
        <v>4208714</v>
      </c>
      <c r="C280" s="35" t="s">
        <v>6024</v>
      </c>
      <c r="D280" s="29" t="s">
        <v>1392</v>
      </c>
      <c r="E280" s="1" t="s">
        <v>1393</v>
      </c>
      <c r="F280" s="1" t="s">
        <v>585</v>
      </c>
      <c r="G280" s="4" t="s">
        <v>5589</v>
      </c>
      <c r="H280" s="4" t="s">
        <v>5716</v>
      </c>
      <c r="I280" s="4" t="s">
        <v>5678</v>
      </c>
      <c r="J280" s="2">
        <v>34286</v>
      </c>
      <c r="K280" s="1" t="s">
        <v>1394</v>
      </c>
      <c r="L280" s="1" t="s">
        <v>20</v>
      </c>
      <c r="O280" s="1" t="s">
        <v>23</v>
      </c>
      <c r="P280" s="1" t="s">
        <v>1395</v>
      </c>
      <c r="Q280" s="1">
        <v>31642389105</v>
      </c>
      <c r="R280" s="1">
        <v>2013</v>
      </c>
      <c r="T280" s="1" t="s">
        <v>5217</v>
      </c>
    </row>
    <row r="281" spans="1:20" ht="15" customHeight="1" x14ac:dyDescent="0.25">
      <c r="A281" s="4" t="s">
        <v>15</v>
      </c>
      <c r="B281" s="1">
        <v>4290011</v>
      </c>
      <c r="C281" s="35" t="s">
        <v>6025</v>
      </c>
      <c r="D281" s="29" t="s">
        <v>1396</v>
      </c>
      <c r="E281" s="1" t="s">
        <v>1397</v>
      </c>
      <c r="F281" s="1" t="s">
        <v>84</v>
      </c>
      <c r="G281" s="4" t="s">
        <v>5589</v>
      </c>
      <c r="H281" s="4" t="s">
        <v>5716</v>
      </c>
      <c r="I281" s="4" t="s">
        <v>5678</v>
      </c>
      <c r="J281" s="2">
        <v>34843</v>
      </c>
      <c r="K281" s="1" t="s">
        <v>19</v>
      </c>
      <c r="L281" s="1" t="s">
        <v>20</v>
      </c>
      <c r="M281" s="1" t="s">
        <v>1398</v>
      </c>
      <c r="N281" s="1" t="s">
        <v>1399</v>
      </c>
      <c r="O281" s="1" t="s">
        <v>23</v>
      </c>
      <c r="P281" s="1" t="s">
        <v>1400</v>
      </c>
      <c r="Q281" s="1">
        <f>31-639594471</f>
        <v>-639594440</v>
      </c>
      <c r="R281" s="1">
        <v>2013</v>
      </c>
    </row>
    <row r="282" spans="1:20" ht="15" customHeight="1" x14ac:dyDescent="0.25">
      <c r="A282" s="4" t="s">
        <v>15</v>
      </c>
      <c r="B282" s="1">
        <v>4289153</v>
      </c>
      <c r="C282" s="35" t="s">
        <v>6026</v>
      </c>
      <c r="D282" s="29" t="s">
        <v>676</v>
      </c>
      <c r="E282" s="1" t="s">
        <v>1401</v>
      </c>
      <c r="F282" s="1" t="s">
        <v>1402</v>
      </c>
      <c r="G282" s="4" t="s">
        <v>5589</v>
      </c>
      <c r="H282" s="4" t="s">
        <v>5716</v>
      </c>
      <c r="I282" s="4" t="s">
        <v>5678</v>
      </c>
      <c r="J282" s="2">
        <v>34654</v>
      </c>
      <c r="K282" s="1" t="s">
        <v>19</v>
      </c>
      <c r="L282" s="1" t="s">
        <v>20</v>
      </c>
      <c r="M282" s="1" t="s">
        <v>1403</v>
      </c>
      <c r="N282" s="1" t="s">
        <v>1404</v>
      </c>
      <c r="O282" s="1" t="s">
        <v>23</v>
      </c>
      <c r="P282" s="1" t="s">
        <v>1405</v>
      </c>
      <c r="Q282" s="1">
        <f>31-630557585</f>
        <v>-630557554</v>
      </c>
      <c r="R282" s="1">
        <v>2013</v>
      </c>
    </row>
    <row r="283" spans="1:20" ht="15" customHeight="1" x14ac:dyDescent="0.25">
      <c r="A283" s="4" t="s">
        <v>15</v>
      </c>
      <c r="B283" s="1">
        <v>4318986</v>
      </c>
      <c r="C283" s="35" t="s">
        <v>6027</v>
      </c>
      <c r="D283" s="29" t="s">
        <v>1406</v>
      </c>
      <c r="E283" s="1" t="s">
        <v>1407</v>
      </c>
      <c r="F283" s="1" t="s">
        <v>68</v>
      </c>
      <c r="G283" s="4" t="s">
        <v>5589</v>
      </c>
      <c r="H283" s="4" t="s">
        <v>5716</v>
      </c>
      <c r="I283" s="4" t="s">
        <v>5678</v>
      </c>
      <c r="J283" s="2">
        <v>34869</v>
      </c>
      <c r="K283" s="1" t="s">
        <v>19</v>
      </c>
      <c r="L283" s="1" t="s">
        <v>20</v>
      </c>
      <c r="M283" s="1" t="s">
        <v>1408</v>
      </c>
      <c r="N283" s="1" t="s">
        <v>1409</v>
      </c>
      <c r="O283" s="1" t="s">
        <v>23</v>
      </c>
      <c r="P283" s="1" t="s">
        <v>1410</v>
      </c>
      <c r="Q283" s="1">
        <f>31-641701900</f>
        <v>-641701869</v>
      </c>
      <c r="R283" s="1">
        <v>2013</v>
      </c>
    </row>
    <row r="284" spans="1:20" ht="15" customHeight="1" x14ac:dyDescent="0.25">
      <c r="A284" s="4" t="s">
        <v>15</v>
      </c>
      <c r="B284" s="1">
        <v>4287908</v>
      </c>
      <c r="C284" s="35" t="s">
        <v>6028</v>
      </c>
      <c r="D284" s="29" t="s">
        <v>1411</v>
      </c>
      <c r="E284" s="1" t="s">
        <v>1412</v>
      </c>
      <c r="F284" s="1" t="s">
        <v>1413</v>
      </c>
      <c r="G284" s="4" t="s">
        <v>5589</v>
      </c>
      <c r="H284" s="4" t="s">
        <v>5716</v>
      </c>
      <c r="I284" s="4" t="s">
        <v>5678</v>
      </c>
      <c r="J284" s="2">
        <v>34834</v>
      </c>
      <c r="K284" s="1" t="s">
        <v>19</v>
      </c>
      <c r="L284" s="1" t="s">
        <v>20</v>
      </c>
      <c r="M284" s="1" t="s">
        <v>1414</v>
      </c>
      <c r="N284" s="1" t="s">
        <v>1415</v>
      </c>
      <c r="O284" s="1" t="s">
        <v>23</v>
      </c>
      <c r="P284" s="1" t="s">
        <v>1416</v>
      </c>
      <c r="Q284" s="1">
        <f>31-641025813</f>
        <v>-641025782</v>
      </c>
      <c r="R284" s="1">
        <v>2013</v>
      </c>
    </row>
    <row r="285" spans="1:20" ht="15" customHeight="1" x14ac:dyDescent="0.25">
      <c r="A285" s="4" t="s">
        <v>15</v>
      </c>
      <c r="B285" s="1">
        <v>4324196</v>
      </c>
      <c r="C285" s="35" t="s">
        <v>6029</v>
      </c>
      <c r="D285" s="29" t="s">
        <v>4496</v>
      </c>
      <c r="E285" s="1" t="s">
        <v>4497</v>
      </c>
      <c r="F285" s="1" t="s">
        <v>1417</v>
      </c>
      <c r="G285" s="4" t="s">
        <v>5589</v>
      </c>
      <c r="H285" s="4" t="s">
        <v>5716</v>
      </c>
      <c r="I285" s="4" t="s">
        <v>5678</v>
      </c>
      <c r="J285" s="2">
        <v>34956</v>
      </c>
      <c r="K285" s="1" t="s">
        <v>19</v>
      </c>
      <c r="L285" s="1" t="s">
        <v>20</v>
      </c>
      <c r="O285" s="1" t="s">
        <v>23</v>
      </c>
      <c r="P285" s="1" t="s">
        <v>1418</v>
      </c>
      <c r="Q285" s="1">
        <v>31640609354</v>
      </c>
      <c r="R285" s="1">
        <v>2013</v>
      </c>
    </row>
    <row r="286" spans="1:20" ht="15" customHeight="1" x14ac:dyDescent="0.25">
      <c r="A286" s="4" t="s">
        <v>15</v>
      </c>
      <c r="B286" s="1">
        <v>4207963</v>
      </c>
      <c r="C286" s="35" t="s">
        <v>6030</v>
      </c>
      <c r="D286" s="29" t="s">
        <v>1419</v>
      </c>
      <c r="E286" s="1" t="s">
        <v>1420</v>
      </c>
      <c r="F286" s="1" t="s">
        <v>1421</v>
      </c>
      <c r="G286" s="4" t="s">
        <v>5589</v>
      </c>
      <c r="H286" s="4" t="s">
        <v>5716</v>
      </c>
      <c r="I286" s="4" t="s">
        <v>5678</v>
      </c>
      <c r="J286" s="2">
        <v>34478</v>
      </c>
      <c r="K286" s="1" t="s">
        <v>19</v>
      </c>
      <c r="L286" s="1" t="s">
        <v>20</v>
      </c>
      <c r="M286" s="1" t="s">
        <v>1422</v>
      </c>
      <c r="N286" s="1" t="s">
        <v>1423</v>
      </c>
      <c r="O286" s="1" t="s">
        <v>23</v>
      </c>
      <c r="P286" s="1" t="s">
        <v>1424</v>
      </c>
      <c r="Q286" s="1">
        <f>31-639507090</f>
        <v>-639507059</v>
      </c>
      <c r="R286" s="1">
        <v>2012</v>
      </c>
      <c r="S286" s="1" t="s">
        <v>88</v>
      </c>
    </row>
    <row r="287" spans="1:20" ht="15" customHeight="1" x14ac:dyDescent="0.25">
      <c r="A287" s="4" t="s">
        <v>15</v>
      </c>
      <c r="B287" s="1">
        <v>4313909</v>
      </c>
      <c r="C287" s="35" t="s">
        <v>6031</v>
      </c>
      <c r="D287" s="29" t="s">
        <v>96</v>
      </c>
      <c r="E287" s="1" t="s">
        <v>1436</v>
      </c>
      <c r="F287" s="1" t="s">
        <v>425</v>
      </c>
      <c r="G287" s="4" t="s">
        <v>5589</v>
      </c>
      <c r="H287" s="4" t="s">
        <v>5716</v>
      </c>
      <c r="I287" s="4" t="s">
        <v>5678</v>
      </c>
      <c r="J287" s="2">
        <v>34527</v>
      </c>
      <c r="K287" s="1" t="s">
        <v>19</v>
      </c>
      <c r="L287" s="1" t="s">
        <v>20</v>
      </c>
      <c r="M287" s="1" t="s">
        <v>1437</v>
      </c>
      <c r="N287" s="1" t="s">
        <v>1438</v>
      </c>
      <c r="O287" s="1" t="s">
        <v>23</v>
      </c>
      <c r="P287" s="1" t="s">
        <v>1439</v>
      </c>
      <c r="Q287" s="1">
        <f>31-636173729</f>
        <v>-636173698</v>
      </c>
      <c r="R287" s="1">
        <v>2013</v>
      </c>
    </row>
    <row r="288" spans="1:20" ht="15" customHeight="1" x14ac:dyDescent="0.25">
      <c r="A288" s="4" t="s">
        <v>15</v>
      </c>
      <c r="B288" s="1">
        <v>4297369</v>
      </c>
      <c r="C288" s="35" t="s">
        <v>6032</v>
      </c>
      <c r="D288" s="29" t="s">
        <v>1440</v>
      </c>
      <c r="E288" s="1" t="s">
        <v>1441</v>
      </c>
      <c r="F288" s="1" t="s">
        <v>1442</v>
      </c>
      <c r="G288" s="4" t="s">
        <v>5590</v>
      </c>
      <c r="H288" s="4" t="s">
        <v>5716</v>
      </c>
      <c r="I288" s="4" t="s">
        <v>5678</v>
      </c>
      <c r="J288" s="2">
        <v>34961</v>
      </c>
      <c r="K288" s="1" t="s">
        <v>19</v>
      </c>
      <c r="L288" s="1" t="s">
        <v>20</v>
      </c>
      <c r="M288" s="1" t="s">
        <v>1443</v>
      </c>
      <c r="N288" s="1" t="s">
        <v>1444</v>
      </c>
      <c r="O288" s="1" t="s">
        <v>23</v>
      </c>
      <c r="P288" s="1" t="s">
        <v>1445</v>
      </c>
      <c r="Q288" s="1">
        <f>31-614410124</f>
        <v>-614410093</v>
      </c>
      <c r="R288" s="1">
        <v>2013</v>
      </c>
    </row>
    <row r="289" spans="1:18" ht="15" customHeight="1" x14ac:dyDescent="0.25">
      <c r="A289" s="4" t="s">
        <v>15</v>
      </c>
      <c r="B289" s="1">
        <v>4291530</v>
      </c>
      <c r="C289" s="35" t="s">
        <v>6033</v>
      </c>
      <c r="D289" s="29" t="s">
        <v>1446</v>
      </c>
      <c r="E289" s="1" t="s">
        <v>1447</v>
      </c>
      <c r="F289" s="1" t="s">
        <v>1448</v>
      </c>
      <c r="G289" s="4" t="s">
        <v>5590</v>
      </c>
      <c r="H289" s="4" t="s">
        <v>5716</v>
      </c>
      <c r="I289" s="4" t="s">
        <v>5678</v>
      </c>
      <c r="J289" s="2">
        <v>34823</v>
      </c>
      <c r="K289" s="1" t="s">
        <v>19</v>
      </c>
      <c r="L289" s="1" t="s">
        <v>20</v>
      </c>
      <c r="M289" s="1" t="s">
        <v>1449</v>
      </c>
      <c r="N289" s="1" t="s">
        <v>1450</v>
      </c>
      <c r="O289" s="1" t="s">
        <v>23</v>
      </c>
      <c r="P289" s="1" t="s">
        <v>1451</v>
      </c>
      <c r="Q289" s="1">
        <f>31-643694914</f>
        <v>-643694883</v>
      </c>
      <c r="R289" s="1">
        <v>2013</v>
      </c>
    </row>
    <row r="290" spans="1:18" ht="15" customHeight="1" x14ac:dyDescent="0.25">
      <c r="A290" s="4" t="s">
        <v>15</v>
      </c>
      <c r="B290" s="1">
        <v>4305582</v>
      </c>
      <c r="C290" s="35" t="s">
        <v>6034</v>
      </c>
      <c r="D290" s="29" t="s">
        <v>1452</v>
      </c>
      <c r="E290" s="1" t="s">
        <v>1453</v>
      </c>
      <c r="F290" s="1" t="s">
        <v>1454</v>
      </c>
      <c r="G290" s="4" t="s">
        <v>5590</v>
      </c>
      <c r="H290" s="4" t="s">
        <v>5716</v>
      </c>
      <c r="I290" s="4" t="s">
        <v>5678</v>
      </c>
      <c r="J290" s="2">
        <v>34626</v>
      </c>
      <c r="K290" s="1" t="s">
        <v>19</v>
      </c>
      <c r="L290" s="1" t="s">
        <v>20</v>
      </c>
      <c r="M290" s="1" t="s">
        <v>1455</v>
      </c>
      <c r="N290" s="1" t="s">
        <v>1456</v>
      </c>
      <c r="O290" s="1" t="s">
        <v>23</v>
      </c>
      <c r="P290" s="1" t="s">
        <v>1457</v>
      </c>
      <c r="Q290" s="1">
        <f>31-639423368</f>
        <v>-639423337</v>
      </c>
      <c r="R290" s="1">
        <v>2013</v>
      </c>
    </row>
    <row r="291" spans="1:18" ht="15" customHeight="1" x14ac:dyDescent="0.25">
      <c r="A291" s="4" t="s">
        <v>15</v>
      </c>
      <c r="B291" s="1">
        <v>4270703</v>
      </c>
      <c r="C291" s="35" t="s">
        <v>6035</v>
      </c>
      <c r="D291" s="29" t="s">
        <v>1481</v>
      </c>
      <c r="E291" s="1" t="s">
        <v>1482</v>
      </c>
      <c r="F291" s="1" t="s">
        <v>1483</v>
      </c>
      <c r="G291" s="4" t="s">
        <v>5590</v>
      </c>
      <c r="H291" s="4" t="s">
        <v>5716</v>
      </c>
      <c r="I291" s="4" t="s">
        <v>5678</v>
      </c>
      <c r="J291" s="2">
        <v>34677</v>
      </c>
      <c r="K291" s="1" t="s">
        <v>19</v>
      </c>
      <c r="L291" s="1" t="s">
        <v>111</v>
      </c>
      <c r="M291" s="1" t="s">
        <v>1484</v>
      </c>
      <c r="N291" s="1" t="s">
        <v>1485</v>
      </c>
      <c r="O291" s="1" t="s">
        <v>23</v>
      </c>
      <c r="P291" s="1" t="s">
        <v>1486</v>
      </c>
      <c r="Q291" s="1">
        <f>31-641787966</f>
        <v>-641787935</v>
      </c>
      <c r="R291" s="1">
        <v>2013</v>
      </c>
    </row>
    <row r="292" spans="1:18" ht="15" customHeight="1" x14ac:dyDescent="0.25">
      <c r="A292" s="4" t="s">
        <v>15</v>
      </c>
      <c r="B292" s="1">
        <v>4230043</v>
      </c>
      <c r="C292" s="35" t="s">
        <v>6036</v>
      </c>
      <c r="D292" s="29" t="s">
        <v>116</v>
      </c>
      <c r="E292" s="1" t="s">
        <v>1458</v>
      </c>
      <c r="F292" s="1" t="s">
        <v>1459</v>
      </c>
      <c r="G292" s="4" t="s">
        <v>5590</v>
      </c>
      <c r="H292" s="4" t="s">
        <v>5716</v>
      </c>
      <c r="I292" s="4" t="s">
        <v>5678</v>
      </c>
      <c r="J292" s="2">
        <v>34381</v>
      </c>
      <c r="K292" s="1" t="s">
        <v>19</v>
      </c>
      <c r="L292" s="1" t="s">
        <v>20</v>
      </c>
      <c r="M292" s="1" t="s">
        <v>1460</v>
      </c>
      <c r="N292" s="1" t="s">
        <v>1461</v>
      </c>
      <c r="O292" s="1" t="s">
        <v>23</v>
      </c>
      <c r="P292" s="1" t="s">
        <v>1462</v>
      </c>
      <c r="Q292" s="1">
        <f>31-683593111</f>
        <v>-683593080</v>
      </c>
      <c r="R292" s="1">
        <v>2013</v>
      </c>
    </row>
    <row r="293" spans="1:18" ht="15" customHeight="1" x14ac:dyDescent="0.25">
      <c r="A293" s="4" t="s">
        <v>15</v>
      </c>
      <c r="B293" s="1">
        <v>4301862</v>
      </c>
      <c r="C293" s="35" t="s">
        <v>6037</v>
      </c>
      <c r="D293" s="29" t="s">
        <v>1463</v>
      </c>
      <c r="E293" s="1" t="s">
        <v>1464</v>
      </c>
      <c r="F293" s="1" t="s">
        <v>539</v>
      </c>
      <c r="G293" s="4" t="s">
        <v>5590</v>
      </c>
      <c r="H293" s="4" t="s">
        <v>5716</v>
      </c>
      <c r="I293" s="4" t="s">
        <v>5678</v>
      </c>
      <c r="J293" s="2">
        <v>34683</v>
      </c>
      <c r="K293" s="1" t="s">
        <v>19</v>
      </c>
      <c r="L293" s="1" t="s">
        <v>20</v>
      </c>
      <c r="M293" s="1" t="s">
        <v>1465</v>
      </c>
      <c r="N293" s="1" t="s">
        <v>1466</v>
      </c>
      <c r="O293" s="1" t="s">
        <v>23</v>
      </c>
      <c r="P293" s="1" t="s">
        <v>1467</v>
      </c>
      <c r="R293" s="1">
        <v>2013</v>
      </c>
    </row>
    <row r="294" spans="1:18" ht="15" customHeight="1" x14ac:dyDescent="0.25">
      <c r="A294" s="4" t="s">
        <v>15</v>
      </c>
      <c r="B294" s="1">
        <v>4284720</v>
      </c>
      <c r="C294" s="35" t="s">
        <v>6038</v>
      </c>
      <c r="D294" s="29" t="s">
        <v>1468</v>
      </c>
      <c r="E294" s="1" t="s">
        <v>1469</v>
      </c>
      <c r="F294" s="1" t="s">
        <v>1470</v>
      </c>
      <c r="G294" s="4" t="s">
        <v>5590</v>
      </c>
      <c r="H294" s="4" t="s">
        <v>5716</v>
      </c>
      <c r="I294" s="4" t="s">
        <v>5678</v>
      </c>
      <c r="J294" s="2">
        <v>34748</v>
      </c>
      <c r="K294" s="1" t="s">
        <v>19</v>
      </c>
      <c r="L294" s="1" t="s">
        <v>20</v>
      </c>
      <c r="M294" s="1" t="s">
        <v>1471</v>
      </c>
      <c r="N294" s="1" t="s">
        <v>1472</v>
      </c>
      <c r="O294" s="1" t="s">
        <v>1473</v>
      </c>
      <c r="P294" s="1" t="s">
        <v>1474</v>
      </c>
      <c r="Q294" s="1">
        <f>968-99881968</f>
        <v>-99881000</v>
      </c>
      <c r="R294" s="1">
        <v>2013</v>
      </c>
    </row>
    <row r="295" spans="1:18" ht="15" customHeight="1" x14ac:dyDescent="0.25">
      <c r="A295" s="4" t="s">
        <v>15</v>
      </c>
      <c r="B295" s="1">
        <v>4313976</v>
      </c>
      <c r="C295" s="35" t="s">
        <v>6039</v>
      </c>
      <c r="D295" s="29" t="s">
        <v>1475</v>
      </c>
      <c r="E295" s="1" t="s">
        <v>1476</v>
      </c>
      <c r="F295" s="1" t="s">
        <v>1477</v>
      </c>
      <c r="G295" s="4" t="s">
        <v>5590</v>
      </c>
      <c r="H295" s="4" t="s">
        <v>5716</v>
      </c>
      <c r="I295" s="4" t="s">
        <v>5678</v>
      </c>
      <c r="J295" s="2">
        <v>34292</v>
      </c>
      <c r="K295" s="1" t="s">
        <v>19</v>
      </c>
      <c r="L295" s="1" t="s">
        <v>20</v>
      </c>
      <c r="M295" s="1" t="s">
        <v>1478</v>
      </c>
      <c r="N295" s="1" t="s">
        <v>1479</v>
      </c>
      <c r="O295" s="1" t="s">
        <v>23</v>
      </c>
      <c r="P295" s="1" t="s">
        <v>1480</v>
      </c>
      <c r="Q295" s="1">
        <f>31-652312970</f>
        <v>-652312939</v>
      </c>
      <c r="R295" s="1">
        <v>2013</v>
      </c>
    </row>
    <row r="296" spans="1:18" ht="15" customHeight="1" x14ac:dyDescent="0.25">
      <c r="A296" s="4" t="s">
        <v>15</v>
      </c>
      <c r="B296" s="1">
        <v>4305205</v>
      </c>
      <c r="C296" s="35" t="s">
        <v>6040</v>
      </c>
      <c r="D296" s="29" t="s">
        <v>1487</v>
      </c>
      <c r="E296" s="1" t="s">
        <v>1488</v>
      </c>
      <c r="F296" s="1" t="s">
        <v>1489</v>
      </c>
      <c r="G296" s="4" t="s">
        <v>5591</v>
      </c>
      <c r="H296" s="4" t="s">
        <v>5717</v>
      </c>
      <c r="I296" s="4" t="s">
        <v>5679</v>
      </c>
      <c r="J296" s="2">
        <v>35311</v>
      </c>
      <c r="K296" s="1" t="s">
        <v>19</v>
      </c>
      <c r="L296" s="1" t="s">
        <v>20</v>
      </c>
      <c r="M296" s="1" t="s">
        <v>1490</v>
      </c>
      <c r="N296" s="1" t="s">
        <v>1491</v>
      </c>
      <c r="O296" s="1" t="s">
        <v>23</v>
      </c>
      <c r="P296" s="1" t="s">
        <v>1492</v>
      </c>
      <c r="Q296" s="1">
        <f>31-619663350</f>
        <v>-619663319</v>
      </c>
      <c r="R296" s="1">
        <v>2013</v>
      </c>
    </row>
    <row r="297" spans="1:18" ht="15" customHeight="1" x14ac:dyDescent="0.25">
      <c r="A297" s="4" t="s">
        <v>15</v>
      </c>
      <c r="B297" s="1">
        <v>4294211</v>
      </c>
      <c r="C297" s="35" t="s">
        <v>6041</v>
      </c>
      <c r="D297" s="29" t="s">
        <v>1527</v>
      </c>
      <c r="E297" s="1" t="s">
        <v>5234</v>
      </c>
      <c r="F297" s="1" t="s">
        <v>1528</v>
      </c>
      <c r="G297" s="4" t="s">
        <v>5591</v>
      </c>
      <c r="H297" s="4" t="s">
        <v>5717</v>
      </c>
      <c r="I297" s="4" t="s">
        <v>5679</v>
      </c>
      <c r="J297" s="2">
        <v>34914</v>
      </c>
      <c r="K297" s="1" t="s">
        <v>137</v>
      </c>
      <c r="L297" s="1" t="s">
        <v>20</v>
      </c>
      <c r="P297" s="1" t="s">
        <v>1529</v>
      </c>
      <c r="R297" s="1">
        <v>2013</v>
      </c>
    </row>
    <row r="298" spans="1:18" ht="15" customHeight="1" x14ac:dyDescent="0.25">
      <c r="A298" s="4" t="s">
        <v>15</v>
      </c>
      <c r="B298" s="1">
        <v>4296044</v>
      </c>
      <c r="C298" s="35" t="s">
        <v>6042</v>
      </c>
      <c r="D298" s="29" t="s">
        <v>1493</v>
      </c>
      <c r="E298" s="1" t="s">
        <v>1494</v>
      </c>
      <c r="F298" s="1" t="s">
        <v>1495</v>
      </c>
      <c r="G298" s="4" t="s">
        <v>5591</v>
      </c>
      <c r="H298" s="4" t="s">
        <v>5717</v>
      </c>
      <c r="I298" s="4" t="s">
        <v>5679</v>
      </c>
      <c r="J298" s="2">
        <v>34959</v>
      </c>
      <c r="K298" s="1" t="s">
        <v>19</v>
      </c>
      <c r="L298" s="1" t="s">
        <v>20</v>
      </c>
      <c r="M298" s="1" t="s">
        <v>1496</v>
      </c>
      <c r="N298" s="1" t="s">
        <v>1497</v>
      </c>
      <c r="O298" s="1" t="s">
        <v>23</v>
      </c>
      <c r="P298" s="1" t="s">
        <v>1498</v>
      </c>
      <c r="Q298" s="1">
        <f>31-619157726</f>
        <v>-619157695</v>
      </c>
      <c r="R298" s="1">
        <v>2013</v>
      </c>
    </row>
    <row r="299" spans="1:18" ht="15" customHeight="1" x14ac:dyDescent="0.25">
      <c r="A299" s="4" t="s">
        <v>15</v>
      </c>
      <c r="B299" s="1">
        <v>4275586</v>
      </c>
      <c r="C299" s="35" t="s">
        <v>6043</v>
      </c>
      <c r="D299" s="29" t="s">
        <v>1499</v>
      </c>
      <c r="E299" s="1" t="s">
        <v>1500</v>
      </c>
      <c r="F299" s="1" t="s">
        <v>1501</v>
      </c>
      <c r="G299" s="4" t="s">
        <v>5591</v>
      </c>
      <c r="H299" s="4" t="s">
        <v>5717</v>
      </c>
      <c r="I299" s="4" t="s">
        <v>5679</v>
      </c>
      <c r="J299" s="2">
        <v>34720</v>
      </c>
      <c r="K299" s="1" t="s">
        <v>19</v>
      </c>
      <c r="L299" s="1" t="s">
        <v>20</v>
      </c>
      <c r="M299" s="1" t="s">
        <v>1502</v>
      </c>
      <c r="N299" s="1" t="s">
        <v>1503</v>
      </c>
      <c r="O299" s="1" t="s">
        <v>23</v>
      </c>
      <c r="P299" s="1" t="s">
        <v>1504</v>
      </c>
      <c r="Q299" s="1">
        <f>31-639482459</f>
        <v>-639482428</v>
      </c>
      <c r="R299" s="1">
        <v>2013</v>
      </c>
    </row>
    <row r="300" spans="1:18" ht="15" customHeight="1" x14ac:dyDescent="0.25">
      <c r="A300" s="4" t="s">
        <v>15</v>
      </c>
      <c r="B300" s="1">
        <v>4281616</v>
      </c>
      <c r="C300" s="35" t="s">
        <v>6044</v>
      </c>
      <c r="D300" s="29" t="s">
        <v>1505</v>
      </c>
      <c r="E300" s="1" t="s">
        <v>1506</v>
      </c>
      <c r="F300" s="1" t="s">
        <v>1507</v>
      </c>
      <c r="G300" s="4" t="s">
        <v>5591</v>
      </c>
      <c r="H300" s="4" t="s">
        <v>5717</v>
      </c>
      <c r="I300" s="4" t="s">
        <v>5679</v>
      </c>
      <c r="J300" s="2">
        <v>34636</v>
      </c>
      <c r="K300" s="1" t="s">
        <v>19</v>
      </c>
      <c r="L300" s="1" t="s">
        <v>20</v>
      </c>
      <c r="M300" s="1" t="s">
        <v>1508</v>
      </c>
      <c r="N300" s="1" t="s">
        <v>1509</v>
      </c>
      <c r="O300" s="1" t="s">
        <v>23</v>
      </c>
      <c r="P300" s="1" t="s">
        <v>1510</v>
      </c>
      <c r="Q300" s="1">
        <f>31-626743287</f>
        <v>-626743256</v>
      </c>
      <c r="R300" s="1">
        <v>2013</v>
      </c>
    </row>
    <row r="301" spans="1:18" ht="15" customHeight="1" x14ac:dyDescent="0.25">
      <c r="A301" s="4" t="s">
        <v>15</v>
      </c>
      <c r="B301" s="1">
        <v>4289684</v>
      </c>
      <c r="C301" s="35" t="s">
        <v>6045</v>
      </c>
      <c r="D301" s="29" t="s">
        <v>1511</v>
      </c>
      <c r="E301" s="1" t="s">
        <v>1512</v>
      </c>
      <c r="F301" s="1" t="s">
        <v>1513</v>
      </c>
      <c r="G301" s="4" t="s">
        <v>5591</v>
      </c>
      <c r="H301" s="4" t="s">
        <v>5717</v>
      </c>
      <c r="I301" s="4" t="s">
        <v>5679</v>
      </c>
      <c r="J301" s="2">
        <v>34606</v>
      </c>
      <c r="K301" s="1" t="s">
        <v>19</v>
      </c>
      <c r="L301" s="1" t="s">
        <v>20</v>
      </c>
      <c r="M301" s="1" t="s">
        <v>1514</v>
      </c>
      <c r="N301" s="1" t="s">
        <v>1515</v>
      </c>
      <c r="O301" s="1" t="s">
        <v>23</v>
      </c>
      <c r="P301" s="1" t="s">
        <v>1516</v>
      </c>
      <c r="Q301" s="1">
        <f>31-646462664</f>
        <v>-646462633</v>
      </c>
      <c r="R301" s="1">
        <v>2013</v>
      </c>
    </row>
    <row r="302" spans="1:18" ht="15" customHeight="1" x14ac:dyDescent="0.25">
      <c r="A302" s="4" t="s">
        <v>15</v>
      </c>
      <c r="B302" s="1">
        <v>4327926</v>
      </c>
      <c r="C302" s="35" t="s">
        <v>6046</v>
      </c>
      <c r="D302" s="29" t="s">
        <v>1517</v>
      </c>
      <c r="E302" s="1" t="s">
        <v>1518</v>
      </c>
      <c r="F302" s="1" t="s">
        <v>551</v>
      </c>
      <c r="G302" s="4" t="s">
        <v>5591</v>
      </c>
      <c r="H302" s="4" t="s">
        <v>5717</v>
      </c>
      <c r="I302" s="4" t="s">
        <v>5679</v>
      </c>
      <c r="J302" s="2">
        <v>34995</v>
      </c>
      <c r="K302" s="1" t="s">
        <v>19</v>
      </c>
      <c r="L302" s="1" t="s">
        <v>20</v>
      </c>
      <c r="M302" s="1" t="s">
        <v>1519</v>
      </c>
      <c r="N302" s="1" t="s">
        <v>1520</v>
      </c>
      <c r="O302" s="1" t="s">
        <v>23</v>
      </c>
      <c r="P302" s="1" t="s">
        <v>1521</v>
      </c>
      <c r="R302" s="1">
        <v>2013</v>
      </c>
    </row>
    <row r="303" spans="1:18" ht="15" customHeight="1" x14ac:dyDescent="0.25">
      <c r="A303" s="4" t="s">
        <v>15</v>
      </c>
      <c r="B303" s="1">
        <v>4328140</v>
      </c>
      <c r="C303" s="35" t="s">
        <v>6047</v>
      </c>
      <c r="D303" s="29" t="s">
        <v>1522</v>
      </c>
      <c r="E303" s="1" t="s">
        <v>1523</v>
      </c>
      <c r="F303" s="1" t="s">
        <v>998</v>
      </c>
      <c r="G303" s="4" t="s">
        <v>5591</v>
      </c>
      <c r="H303" s="4" t="s">
        <v>5717</v>
      </c>
      <c r="I303" s="4" t="s">
        <v>5679</v>
      </c>
      <c r="J303" s="2">
        <v>34946</v>
      </c>
      <c r="K303" s="1" t="s">
        <v>19</v>
      </c>
      <c r="L303" s="1" t="s">
        <v>20</v>
      </c>
      <c r="M303" s="1" t="s">
        <v>1524</v>
      </c>
      <c r="N303" s="1" t="s">
        <v>1525</v>
      </c>
      <c r="O303" s="1" t="s">
        <v>23</v>
      </c>
      <c r="P303" s="1" t="s">
        <v>1526</v>
      </c>
      <c r="Q303" s="1">
        <f>31-612164920</f>
        <v>-612164889</v>
      </c>
      <c r="R303" s="1">
        <v>2013</v>
      </c>
    </row>
    <row r="304" spans="1:18" ht="15" customHeight="1" x14ac:dyDescent="0.25">
      <c r="A304" s="4" t="s">
        <v>15</v>
      </c>
      <c r="B304" s="1">
        <v>4291123</v>
      </c>
      <c r="C304" s="35" t="s">
        <v>6048</v>
      </c>
      <c r="D304" s="29" t="s">
        <v>1530</v>
      </c>
      <c r="E304" s="1" t="s">
        <v>1531</v>
      </c>
      <c r="F304" s="1" t="s">
        <v>1532</v>
      </c>
      <c r="G304" s="4" t="s">
        <v>5592</v>
      </c>
      <c r="H304" s="4" t="s">
        <v>5717</v>
      </c>
      <c r="I304" s="4" t="s">
        <v>5679</v>
      </c>
      <c r="J304" s="2">
        <v>34937</v>
      </c>
      <c r="K304" s="1" t="s">
        <v>19</v>
      </c>
      <c r="L304" s="1" t="s">
        <v>20</v>
      </c>
      <c r="M304" s="1" t="s">
        <v>1533</v>
      </c>
      <c r="N304" s="1" t="s">
        <v>1534</v>
      </c>
      <c r="O304" s="1" t="s">
        <v>23</v>
      </c>
      <c r="P304" s="1" t="s">
        <v>1535</v>
      </c>
      <c r="Q304" s="1">
        <f>31-617363644</f>
        <v>-617363613</v>
      </c>
      <c r="R304" s="1">
        <v>2013</v>
      </c>
    </row>
    <row r="305" spans="1:20" ht="15" customHeight="1" x14ac:dyDescent="0.25">
      <c r="A305" s="4" t="s">
        <v>15</v>
      </c>
      <c r="B305" s="1">
        <v>4270517</v>
      </c>
      <c r="C305" s="35" t="s">
        <v>6049</v>
      </c>
      <c r="D305" s="29" t="s">
        <v>1568</v>
      </c>
      <c r="E305" s="1" t="s">
        <v>1569</v>
      </c>
      <c r="F305" s="1" t="s">
        <v>1570</v>
      </c>
      <c r="G305" s="4" t="s">
        <v>5592</v>
      </c>
      <c r="H305" s="4" t="s">
        <v>5717</v>
      </c>
      <c r="I305" s="4" t="s">
        <v>5679</v>
      </c>
      <c r="J305" s="2">
        <v>34876</v>
      </c>
      <c r="K305" s="1" t="s">
        <v>19</v>
      </c>
      <c r="L305" s="1" t="s">
        <v>111</v>
      </c>
      <c r="M305" s="1" t="s">
        <v>1571</v>
      </c>
      <c r="N305" s="1" t="s">
        <v>1572</v>
      </c>
      <c r="O305" s="1" t="s">
        <v>23</v>
      </c>
      <c r="P305" s="1" t="s">
        <v>1573</v>
      </c>
      <c r="Q305" s="1">
        <f>31-657163537</f>
        <v>-657163506</v>
      </c>
      <c r="R305" s="1">
        <v>2013</v>
      </c>
    </row>
    <row r="306" spans="1:20" ht="15" customHeight="1" x14ac:dyDescent="0.25">
      <c r="A306" s="4" t="s">
        <v>15</v>
      </c>
      <c r="B306" s="1">
        <v>4291107</v>
      </c>
      <c r="C306" s="35" t="s">
        <v>6050</v>
      </c>
      <c r="D306" s="29" t="s">
        <v>1536</v>
      </c>
      <c r="E306" s="1" t="s">
        <v>1537</v>
      </c>
      <c r="F306" s="1" t="s">
        <v>1538</v>
      </c>
      <c r="G306" s="4" t="s">
        <v>5592</v>
      </c>
      <c r="H306" s="4" t="s">
        <v>5717</v>
      </c>
      <c r="I306" s="4" t="s">
        <v>5679</v>
      </c>
      <c r="J306" s="2">
        <v>34575</v>
      </c>
      <c r="K306" s="1" t="s">
        <v>19</v>
      </c>
      <c r="L306" s="1" t="s">
        <v>20</v>
      </c>
      <c r="M306" s="1" t="s">
        <v>1539</v>
      </c>
      <c r="N306" s="1" t="s">
        <v>1540</v>
      </c>
      <c r="O306" s="1" t="s">
        <v>23</v>
      </c>
      <c r="P306" s="1" t="s">
        <v>1541</v>
      </c>
      <c r="Q306" s="1">
        <f>31-683699687</f>
        <v>-683699656</v>
      </c>
      <c r="R306" s="1">
        <v>2013</v>
      </c>
    </row>
    <row r="307" spans="1:20" ht="15" customHeight="1" x14ac:dyDescent="0.25">
      <c r="A307" s="4" t="s">
        <v>15</v>
      </c>
      <c r="B307" s="1">
        <v>4296346</v>
      </c>
      <c r="C307" s="35" t="s">
        <v>6051</v>
      </c>
      <c r="D307" s="29" t="s">
        <v>1542</v>
      </c>
      <c r="E307" s="1" t="s">
        <v>1543</v>
      </c>
      <c r="F307" s="1" t="s">
        <v>1304</v>
      </c>
      <c r="G307" s="4" t="s">
        <v>5592</v>
      </c>
      <c r="H307" s="4" t="s">
        <v>5717</v>
      </c>
      <c r="I307" s="4" t="s">
        <v>5679</v>
      </c>
      <c r="J307" s="2">
        <v>34922</v>
      </c>
      <c r="K307" s="1" t="s">
        <v>19</v>
      </c>
      <c r="L307" s="1" t="s">
        <v>20</v>
      </c>
      <c r="M307" s="1" t="s">
        <v>1544</v>
      </c>
      <c r="N307" s="1" t="s">
        <v>1545</v>
      </c>
      <c r="O307" s="1" t="s">
        <v>23</v>
      </c>
      <c r="P307" s="1" t="s">
        <v>1546</v>
      </c>
      <c r="Q307" s="1">
        <f>31-625094004</f>
        <v>-625093973</v>
      </c>
      <c r="R307" s="1">
        <v>2013</v>
      </c>
    </row>
    <row r="308" spans="1:20" ht="15" customHeight="1" x14ac:dyDescent="0.25">
      <c r="A308" s="4" t="s">
        <v>15</v>
      </c>
      <c r="B308" s="1">
        <v>4317815</v>
      </c>
      <c r="C308" s="35" t="s">
        <v>6052</v>
      </c>
      <c r="D308" s="29" t="s">
        <v>1547</v>
      </c>
      <c r="E308" s="1" t="s">
        <v>1548</v>
      </c>
      <c r="F308" s="1" t="s">
        <v>998</v>
      </c>
      <c r="G308" s="4" t="s">
        <v>5592</v>
      </c>
      <c r="H308" s="4" t="s">
        <v>5717</v>
      </c>
      <c r="I308" s="4" t="s">
        <v>5679</v>
      </c>
      <c r="J308" s="2">
        <v>34475</v>
      </c>
      <c r="K308" s="1" t="s">
        <v>19</v>
      </c>
      <c r="L308" s="1" t="s">
        <v>20</v>
      </c>
      <c r="M308" s="1" t="s">
        <v>1549</v>
      </c>
      <c r="N308" s="1" t="s">
        <v>1550</v>
      </c>
      <c r="O308" s="1" t="s">
        <v>23</v>
      </c>
      <c r="P308" s="1" t="s">
        <v>1551</v>
      </c>
      <c r="Q308" s="1">
        <f>31-652112177</f>
        <v>-652112146</v>
      </c>
      <c r="R308" s="1">
        <v>2013</v>
      </c>
    </row>
    <row r="309" spans="1:20" ht="15" customHeight="1" x14ac:dyDescent="0.25">
      <c r="A309" s="4" t="s">
        <v>15</v>
      </c>
      <c r="B309" s="1">
        <v>4302214</v>
      </c>
      <c r="C309" s="35" t="s">
        <v>6053</v>
      </c>
      <c r="D309" s="29" t="s">
        <v>1552</v>
      </c>
      <c r="E309" s="1" t="s">
        <v>1553</v>
      </c>
      <c r="F309" s="1" t="s">
        <v>84</v>
      </c>
      <c r="G309" s="4" t="s">
        <v>5592</v>
      </c>
      <c r="H309" s="4" t="s">
        <v>5717</v>
      </c>
      <c r="I309" s="4" t="s">
        <v>5679</v>
      </c>
      <c r="J309" s="2">
        <v>34625</v>
      </c>
      <c r="K309" s="1" t="s">
        <v>19</v>
      </c>
      <c r="L309" s="1" t="s">
        <v>20</v>
      </c>
      <c r="M309" s="1" t="s">
        <v>1554</v>
      </c>
      <c r="N309" s="1" t="s">
        <v>1555</v>
      </c>
      <c r="O309" s="1" t="s">
        <v>23</v>
      </c>
      <c r="P309" s="1" t="s">
        <v>1556</v>
      </c>
      <c r="Q309" s="1">
        <f>31-657994545</f>
        <v>-657994514</v>
      </c>
      <c r="R309" s="1">
        <v>2013</v>
      </c>
    </row>
    <row r="310" spans="1:20" ht="15" customHeight="1" x14ac:dyDescent="0.25">
      <c r="A310" s="4" t="s">
        <v>15</v>
      </c>
      <c r="B310" s="1">
        <v>4288483</v>
      </c>
      <c r="C310" s="35" t="s">
        <v>6054</v>
      </c>
      <c r="D310" s="29" t="s">
        <v>1557</v>
      </c>
      <c r="E310" s="1" t="s">
        <v>1558</v>
      </c>
      <c r="F310" s="1" t="s">
        <v>1559</v>
      </c>
      <c r="G310" s="4" t="s">
        <v>5592</v>
      </c>
      <c r="H310" s="4" t="s">
        <v>5717</v>
      </c>
      <c r="I310" s="4" t="s">
        <v>5679</v>
      </c>
      <c r="J310" s="2">
        <v>34716</v>
      </c>
      <c r="K310" s="1" t="s">
        <v>19</v>
      </c>
      <c r="L310" s="1" t="s">
        <v>20</v>
      </c>
      <c r="M310" s="1" t="s">
        <v>1560</v>
      </c>
      <c r="N310" s="1" t="s">
        <v>1561</v>
      </c>
      <c r="O310" s="1" t="s">
        <v>23</v>
      </c>
      <c r="P310" s="1" t="s">
        <v>1562</v>
      </c>
      <c r="Q310" s="1">
        <f>31-613092711</f>
        <v>-613092680</v>
      </c>
      <c r="R310" s="1">
        <v>2013</v>
      </c>
    </row>
    <row r="311" spans="1:20" ht="15" customHeight="1" x14ac:dyDescent="0.25">
      <c r="A311" s="4" t="s">
        <v>15</v>
      </c>
      <c r="B311" s="1">
        <v>4282434</v>
      </c>
      <c r="C311" s="35" t="s">
        <v>6055</v>
      </c>
      <c r="D311" s="29" t="s">
        <v>459</v>
      </c>
      <c r="E311" s="1" t="s">
        <v>1563</v>
      </c>
      <c r="F311" s="1" t="s">
        <v>1564</v>
      </c>
      <c r="G311" s="4" t="s">
        <v>5592</v>
      </c>
      <c r="H311" s="4" t="s">
        <v>5717</v>
      </c>
      <c r="I311" s="4" t="s">
        <v>5679</v>
      </c>
      <c r="J311" s="2">
        <v>34379</v>
      </c>
      <c r="K311" s="1" t="s">
        <v>19</v>
      </c>
      <c r="L311" s="1" t="s">
        <v>20</v>
      </c>
      <c r="M311" s="1" t="s">
        <v>1565</v>
      </c>
      <c r="N311" s="1" t="s">
        <v>1566</v>
      </c>
      <c r="O311" s="1" t="s">
        <v>23</v>
      </c>
      <c r="P311" s="1" t="s">
        <v>1567</v>
      </c>
      <c r="Q311" s="1">
        <f>31-652120264</f>
        <v>-652120233</v>
      </c>
      <c r="R311" s="1">
        <v>2013</v>
      </c>
    </row>
    <row r="312" spans="1:20" ht="15" customHeight="1" x14ac:dyDescent="0.25">
      <c r="A312" s="4" t="s">
        <v>15</v>
      </c>
      <c r="B312" s="1">
        <v>4207564</v>
      </c>
      <c r="C312" s="35" t="s">
        <v>6056</v>
      </c>
      <c r="D312" s="29" t="s">
        <v>1610</v>
      </c>
      <c r="E312" s="1" t="s">
        <v>1611</v>
      </c>
      <c r="F312" s="1" t="s">
        <v>84</v>
      </c>
      <c r="G312" s="4" t="s">
        <v>5593</v>
      </c>
      <c r="H312" s="4" t="s">
        <v>5717</v>
      </c>
      <c r="I312" s="4" t="s">
        <v>5681</v>
      </c>
      <c r="J312" s="2">
        <v>34275</v>
      </c>
      <c r="K312" s="1" t="s">
        <v>19</v>
      </c>
      <c r="L312" s="1" t="s">
        <v>20</v>
      </c>
      <c r="Q312" s="1">
        <v>624974232</v>
      </c>
      <c r="R312" s="1">
        <v>2013</v>
      </c>
      <c r="T312" s="1" t="s">
        <v>5217</v>
      </c>
    </row>
    <row r="313" spans="1:20" ht="15" customHeight="1" x14ac:dyDescent="0.25">
      <c r="A313" s="4" t="s">
        <v>15</v>
      </c>
      <c r="B313" s="1">
        <v>4205391</v>
      </c>
      <c r="C313" s="35" t="s">
        <v>6057</v>
      </c>
      <c r="D313" s="29" t="s">
        <v>1574</v>
      </c>
      <c r="E313" s="1" t="s">
        <v>1575</v>
      </c>
      <c r="F313" s="1" t="s">
        <v>1576</v>
      </c>
      <c r="G313" s="4" t="s">
        <v>5593</v>
      </c>
      <c r="H313" s="4" t="s">
        <v>5717</v>
      </c>
      <c r="I313" s="4" t="s">
        <v>5681</v>
      </c>
      <c r="J313" s="2">
        <v>34249</v>
      </c>
      <c r="K313" s="1" t="s">
        <v>19</v>
      </c>
      <c r="L313" s="1" t="s">
        <v>20</v>
      </c>
      <c r="M313" s="1" t="s">
        <v>1577</v>
      </c>
      <c r="N313" s="1" t="s">
        <v>1578</v>
      </c>
      <c r="O313" s="1" t="s">
        <v>23</v>
      </c>
      <c r="P313" s="1" t="s">
        <v>1579</v>
      </c>
      <c r="Q313" s="1">
        <f>31-642041503</f>
        <v>-642041472</v>
      </c>
      <c r="R313" s="1">
        <v>2012</v>
      </c>
      <c r="S313" s="1" t="s">
        <v>5227</v>
      </c>
    </row>
    <row r="314" spans="1:20" ht="15" customHeight="1" x14ac:dyDescent="0.25">
      <c r="A314" s="4" t="s">
        <v>15</v>
      </c>
      <c r="B314" s="1">
        <v>4292286</v>
      </c>
      <c r="C314" s="35" t="s">
        <v>6058</v>
      </c>
      <c r="D314" s="29" t="s">
        <v>1580</v>
      </c>
      <c r="E314" s="1" t="s">
        <v>1581</v>
      </c>
      <c r="F314" s="1" t="s">
        <v>1582</v>
      </c>
      <c r="G314" s="4" t="s">
        <v>5593</v>
      </c>
      <c r="H314" s="4" t="s">
        <v>5717</v>
      </c>
      <c r="I314" s="4" t="s">
        <v>5681</v>
      </c>
      <c r="J314" s="2">
        <v>34912</v>
      </c>
      <c r="K314" s="1" t="s">
        <v>19</v>
      </c>
      <c r="L314" s="1" t="s">
        <v>20</v>
      </c>
      <c r="M314" s="1" t="s">
        <v>1583</v>
      </c>
      <c r="N314" s="1" t="s">
        <v>1584</v>
      </c>
      <c r="O314" s="1" t="s">
        <v>23</v>
      </c>
      <c r="P314" s="1" t="s">
        <v>1585</v>
      </c>
      <c r="Q314" s="1">
        <f>31-643694915</f>
        <v>-643694884</v>
      </c>
      <c r="R314" s="1">
        <v>2013</v>
      </c>
    </row>
    <row r="315" spans="1:20" ht="15" customHeight="1" x14ac:dyDescent="0.25">
      <c r="A315" s="4" t="s">
        <v>15</v>
      </c>
      <c r="B315" s="1">
        <v>4318536</v>
      </c>
      <c r="C315" s="35" t="s">
        <v>6059</v>
      </c>
      <c r="D315" s="29" t="s">
        <v>1586</v>
      </c>
      <c r="E315" s="1" t="s">
        <v>1587</v>
      </c>
      <c r="F315" s="1" t="s">
        <v>1588</v>
      </c>
      <c r="G315" s="4" t="s">
        <v>5593</v>
      </c>
      <c r="H315" s="4" t="s">
        <v>5717</v>
      </c>
      <c r="I315" s="4" t="s">
        <v>5681</v>
      </c>
      <c r="J315" s="2">
        <v>34403</v>
      </c>
      <c r="K315" s="1" t="s">
        <v>19</v>
      </c>
      <c r="L315" s="1" t="s">
        <v>20</v>
      </c>
      <c r="M315" s="1" t="s">
        <v>1589</v>
      </c>
      <c r="N315" s="1" t="s">
        <v>1590</v>
      </c>
      <c r="O315" s="1" t="s">
        <v>23</v>
      </c>
      <c r="P315" s="1" t="s">
        <v>1591</v>
      </c>
      <c r="Q315" s="1">
        <f>31-648233945</f>
        <v>-648233914</v>
      </c>
      <c r="R315" s="1">
        <v>2013</v>
      </c>
    </row>
    <row r="316" spans="1:20" ht="15" customHeight="1" x14ac:dyDescent="0.25">
      <c r="A316" s="4" t="s">
        <v>15</v>
      </c>
      <c r="B316" s="1">
        <v>4297172</v>
      </c>
      <c r="C316" s="35" t="s">
        <v>6060</v>
      </c>
      <c r="D316" s="29" t="s">
        <v>4290</v>
      </c>
      <c r="E316" s="1" t="s">
        <v>4291</v>
      </c>
      <c r="F316" s="1" t="s">
        <v>900</v>
      </c>
      <c r="G316" s="4" t="s">
        <v>5593</v>
      </c>
      <c r="H316" s="4" t="s">
        <v>5717</v>
      </c>
      <c r="I316" s="4" t="s">
        <v>5681</v>
      </c>
      <c r="J316" s="2">
        <v>34840</v>
      </c>
      <c r="K316" s="1" t="s">
        <v>19</v>
      </c>
      <c r="L316" s="1" t="s">
        <v>20</v>
      </c>
      <c r="M316" s="1" t="s">
        <v>4292</v>
      </c>
      <c r="N316" s="1" t="s">
        <v>4293</v>
      </c>
      <c r="O316" s="1" t="s">
        <v>23</v>
      </c>
      <c r="P316" s="1" t="s">
        <v>4294</v>
      </c>
      <c r="R316" s="1">
        <v>2013</v>
      </c>
    </row>
    <row r="317" spans="1:20" ht="15" customHeight="1" x14ac:dyDescent="0.25">
      <c r="A317" s="4" t="s">
        <v>15</v>
      </c>
      <c r="B317" s="1">
        <v>4309502</v>
      </c>
      <c r="C317" s="35" t="s">
        <v>6061</v>
      </c>
      <c r="D317" s="29" t="s">
        <v>4329</v>
      </c>
      <c r="E317" s="1" t="s">
        <v>4330</v>
      </c>
      <c r="F317" s="1" t="s">
        <v>4331</v>
      </c>
      <c r="G317" s="4" t="s">
        <v>5593</v>
      </c>
      <c r="H317" s="4" t="s">
        <v>5717</v>
      </c>
      <c r="I317" s="4" t="s">
        <v>5681</v>
      </c>
      <c r="J317" s="2">
        <v>34874</v>
      </c>
      <c r="K317" s="1" t="s">
        <v>19</v>
      </c>
      <c r="L317" s="1" t="s">
        <v>20</v>
      </c>
      <c r="M317" s="1" t="s">
        <v>4332</v>
      </c>
      <c r="N317" s="1" t="s">
        <v>4333</v>
      </c>
      <c r="O317" s="1" t="s">
        <v>23</v>
      </c>
      <c r="P317" s="1" t="s">
        <v>4334</v>
      </c>
      <c r="R317" s="1">
        <v>2013</v>
      </c>
    </row>
    <row r="318" spans="1:20" ht="15" customHeight="1" x14ac:dyDescent="0.25">
      <c r="A318" s="4" t="s">
        <v>15</v>
      </c>
      <c r="B318" s="1">
        <v>4296125</v>
      </c>
      <c r="C318" s="35" t="s">
        <v>6062</v>
      </c>
      <c r="D318" s="29" t="s">
        <v>1592</v>
      </c>
      <c r="E318" s="1" t="s">
        <v>1593</v>
      </c>
      <c r="F318" s="1" t="s">
        <v>1594</v>
      </c>
      <c r="G318" s="4" t="s">
        <v>5593</v>
      </c>
      <c r="H318" s="4" t="s">
        <v>5717</v>
      </c>
      <c r="I318" s="4" t="s">
        <v>5681</v>
      </c>
      <c r="J318" s="2">
        <v>34984</v>
      </c>
      <c r="K318" s="1" t="s">
        <v>19</v>
      </c>
      <c r="L318" s="1" t="s">
        <v>20</v>
      </c>
      <c r="M318" s="1" t="s">
        <v>1595</v>
      </c>
      <c r="N318" s="1" t="s">
        <v>1596</v>
      </c>
      <c r="O318" s="1" t="s">
        <v>23</v>
      </c>
      <c r="P318" s="1" t="s">
        <v>1597</v>
      </c>
      <c r="Q318" s="1">
        <f>31-621173382</f>
        <v>-621173351</v>
      </c>
      <c r="R318" s="1">
        <v>2013</v>
      </c>
    </row>
    <row r="319" spans="1:20" ht="15" customHeight="1" x14ac:dyDescent="0.25">
      <c r="A319" s="4" t="s">
        <v>15</v>
      </c>
      <c r="B319" s="1">
        <v>4299272</v>
      </c>
      <c r="C319" s="35" t="s">
        <v>6063</v>
      </c>
      <c r="D319" s="29" t="s">
        <v>1598</v>
      </c>
      <c r="E319" s="1" t="s">
        <v>1599</v>
      </c>
      <c r="F319" s="1" t="s">
        <v>1600</v>
      </c>
      <c r="G319" s="4" t="s">
        <v>5593</v>
      </c>
      <c r="H319" s="4" t="s">
        <v>5717</v>
      </c>
      <c r="I319" s="4" t="s">
        <v>5681</v>
      </c>
      <c r="J319" s="2">
        <v>34936</v>
      </c>
      <c r="K319" s="1" t="s">
        <v>19</v>
      </c>
      <c r="L319" s="1" t="s">
        <v>20</v>
      </c>
      <c r="M319" s="1" t="s">
        <v>1601</v>
      </c>
      <c r="N319" s="1" t="s">
        <v>1602</v>
      </c>
      <c r="O319" s="1" t="s">
        <v>23</v>
      </c>
      <c r="P319" s="1" t="s">
        <v>1603</v>
      </c>
      <c r="Q319" s="1">
        <f>31-683089004</f>
        <v>-683088973</v>
      </c>
      <c r="R319" s="1">
        <v>2013</v>
      </c>
    </row>
    <row r="320" spans="1:20" ht="15" customHeight="1" x14ac:dyDescent="0.25">
      <c r="A320" s="4" t="s">
        <v>15</v>
      </c>
      <c r="B320" s="1">
        <v>4229452</v>
      </c>
      <c r="C320" s="35" t="s">
        <v>6064</v>
      </c>
      <c r="D320" s="29" t="s">
        <v>1604</v>
      </c>
      <c r="E320" s="1" t="s">
        <v>1605</v>
      </c>
      <c r="F320" s="1" t="s">
        <v>1606</v>
      </c>
      <c r="G320" s="4" t="s">
        <v>5593</v>
      </c>
      <c r="H320" s="4" t="s">
        <v>5717</v>
      </c>
      <c r="I320" s="4" t="s">
        <v>5681</v>
      </c>
      <c r="J320" s="2">
        <v>34255</v>
      </c>
      <c r="K320" s="1" t="s">
        <v>19</v>
      </c>
      <c r="L320" s="1" t="s">
        <v>20</v>
      </c>
      <c r="M320" s="1" t="s">
        <v>1607</v>
      </c>
      <c r="N320" s="1" t="s">
        <v>1608</v>
      </c>
      <c r="O320" s="1" t="s">
        <v>23</v>
      </c>
      <c r="P320" s="1" t="s">
        <v>1609</v>
      </c>
      <c r="Q320" s="1">
        <f>31-616917365</f>
        <v>-616917334</v>
      </c>
      <c r="R320" s="1">
        <v>2013</v>
      </c>
    </row>
    <row r="321" spans="1:20" ht="15" customHeight="1" x14ac:dyDescent="0.25">
      <c r="A321" s="4" t="s">
        <v>15</v>
      </c>
      <c r="B321" s="1">
        <v>4320670</v>
      </c>
      <c r="C321" s="35" t="s">
        <v>6065</v>
      </c>
      <c r="D321" s="29" t="s">
        <v>1612</v>
      </c>
      <c r="E321" s="1" t="s">
        <v>1613</v>
      </c>
      <c r="F321" s="1" t="s">
        <v>1614</v>
      </c>
      <c r="G321" s="4" t="s">
        <v>5594</v>
      </c>
      <c r="H321" s="4" t="s">
        <v>5717</v>
      </c>
      <c r="I321" s="4" t="s">
        <v>5681</v>
      </c>
      <c r="J321" s="2">
        <v>34737</v>
      </c>
      <c r="K321" s="1" t="s">
        <v>19</v>
      </c>
      <c r="L321" s="1" t="s">
        <v>20</v>
      </c>
      <c r="M321" s="1" t="s">
        <v>1615</v>
      </c>
      <c r="N321" s="1" t="s">
        <v>1616</v>
      </c>
      <c r="O321" s="1" t="s">
        <v>23</v>
      </c>
      <c r="P321" s="1" t="s">
        <v>1617</v>
      </c>
      <c r="Q321" s="1">
        <f>31-636201662</f>
        <v>-636201631</v>
      </c>
      <c r="R321" s="1">
        <v>2013</v>
      </c>
    </row>
    <row r="322" spans="1:20" ht="15" customHeight="1" x14ac:dyDescent="0.25">
      <c r="A322" s="4" t="s">
        <v>15</v>
      </c>
      <c r="B322" s="1">
        <v>4300211</v>
      </c>
      <c r="C322" s="35" t="s">
        <v>6066</v>
      </c>
      <c r="D322" s="29" t="s">
        <v>4335</v>
      </c>
      <c r="E322" s="1" t="s">
        <v>4336</v>
      </c>
      <c r="F322" s="1" t="s">
        <v>2271</v>
      </c>
      <c r="G322" s="4" t="s">
        <v>5594</v>
      </c>
      <c r="H322" s="4" t="s">
        <v>5717</v>
      </c>
      <c r="I322" s="4" t="s">
        <v>5681</v>
      </c>
      <c r="J322" s="2">
        <v>34644</v>
      </c>
      <c r="K322" s="1" t="s">
        <v>19</v>
      </c>
      <c r="L322" s="1" t="s">
        <v>20</v>
      </c>
      <c r="M322" s="1" t="s">
        <v>4337</v>
      </c>
      <c r="N322" s="1" t="s">
        <v>4338</v>
      </c>
      <c r="O322" s="1" t="s">
        <v>23</v>
      </c>
      <c r="P322" s="1" t="s">
        <v>4339</v>
      </c>
      <c r="Q322" s="1">
        <f>31-634481581</f>
        <v>-634481550</v>
      </c>
      <c r="R322" s="1">
        <v>2013</v>
      </c>
    </row>
    <row r="323" spans="1:20" ht="15" customHeight="1" x14ac:dyDescent="0.25">
      <c r="A323" s="4" t="s">
        <v>15</v>
      </c>
      <c r="B323" s="1">
        <v>4310144</v>
      </c>
      <c r="C323" s="35" t="s">
        <v>6067</v>
      </c>
      <c r="D323" s="29" t="s">
        <v>1618</v>
      </c>
      <c r="E323" s="1" t="s">
        <v>1619</v>
      </c>
      <c r="F323" s="1" t="s">
        <v>1620</v>
      </c>
      <c r="G323" s="4" t="s">
        <v>5594</v>
      </c>
      <c r="H323" s="4" t="s">
        <v>5717</v>
      </c>
      <c r="I323" s="4" t="s">
        <v>5681</v>
      </c>
      <c r="J323" s="2">
        <v>35123</v>
      </c>
      <c r="K323" s="1" t="s">
        <v>19</v>
      </c>
      <c r="L323" s="1" t="s">
        <v>20</v>
      </c>
      <c r="M323" s="1" t="s">
        <v>1621</v>
      </c>
      <c r="N323" s="1" t="s">
        <v>1622</v>
      </c>
      <c r="O323" s="1" t="s">
        <v>23</v>
      </c>
      <c r="P323" s="1" t="s">
        <v>1623</v>
      </c>
      <c r="Q323" s="1">
        <f>31-646488447</f>
        <v>-646488416</v>
      </c>
      <c r="R323" s="1">
        <v>2013</v>
      </c>
    </row>
    <row r="324" spans="1:20" ht="15" customHeight="1" x14ac:dyDescent="0.25">
      <c r="A324" s="4" t="s">
        <v>15</v>
      </c>
      <c r="B324" s="1">
        <v>4244737</v>
      </c>
      <c r="C324" s="35" t="s">
        <v>6068</v>
      </c>
      <c r="D324" s="29" t="s">
        <v>1624</v>
      </c>
      <c r="E324" s="1" t="s">
        <v>1625</v>
      </c>
      <c r="F324" s="1" t="s">
        <v>1626</v>
      </c>
      <c r="G324" s="4" t="s">
        <v>5594</v>
      </c>
      <c r="H324" s="4" t="s">
        <v>5717</v>
      </c>
      <c r="I324" s="4" t="s">
        <v>5681</v>
      </c>
      <c r="J324" s="2">
        <v>34026</v>
      </c>
      <c r="K324" s="1" t="s">
        <v>19</v>
      </c>
      <c r="L324" s="1" t="s">
        <v>20</v>
      </c>
      <c r="M324" s="1" t="s">
        <v>1627</v>
      </c>
      <c r="N324" s="1" t="s">
        <v>1628</v>
      </c>
      <c r="O324" s="1" t="s">
        <v>23</v>
      </c>
      <c r="P324" s="1" t="s">
        <v>1629</v>
      </c>
      <c r="R324" s="1">
        <v>2012</v>
      </c>
      <c r="S324" s="1" t="s">
        <v>5229</v>
      </c>
    </row>
    <row r="325" spans="1:20" ht="15" customHeight="1" x14ac:dyDescent="0.25">
      <c r="A325" s="4" t="s">
        <v>15</v>
      </c>
      <c r="B325" s="1">
        <v>4205677</v>
      </c>
      <c r="C325" s="35" t="s">
        <v>6069</v>
      </c>
      <c r="D325" s="29" t="s">
        <v>1630</v>
      </c>
      <c r="E325" s="1" t="s">
        <v>1631</v>
      </c>
      <c r="F325" s="1" t="s">
        <v>1632</v>
      </c>
      <c r="G325" s="4" t="s">
        <v>5594</v>
      </c>
      <c r="H325" s="4" t="s">
        <v>5717</v>
      </c>
      <c r="I325" s="4" t="s">
        <v>5681</v>
      </c>
      <c r="J325" s="2">
        <v>34522</v>
      </c>
      <c r="K325" s="1" t="s">
        <v>19</v>
      </c>
      <c r="L325" s="1" t="s">
        <v>20</v>
      </c>
      <c r="M325" s="1" t="s">
        <v>1633</v>
      </c>
      <c r="N325" s="1" t="s">
        <v>1634</v>
      </c>
      <c r="O325" s="1" t="s">
        <v>23</v>
      </c>
      <c r="P325" s="1" t="s">
        <v>1635</v>
      </c>
      <c r="R325" s="1">
        <v>2012</v>
      </c>
      <c r="S325" s="1" t="s">
        <v>88</v>
      </c>
    </row>
    <row r="326" spans="1:20" ht="15" customHeight="1" x14ac:dyDescent="0.25">
      <c r="A326" s="4" t="s">
        <v>15</v>
      </c>
      <c r="B326" s="1">
        <v>4300564</v>
      </c>
      <c r="C326" s="35" t="s">
        <v>6070</v>
      </c>
      <c r="D326" s="29" t="s">
        <v>1636</v>
      </c>
      <c r="E326" s="1" t="s">
        <v>1637</v>
      </c>
      <c r="F326" s="1" t="s">
        <v>788</v>
      </c>
      <c r="G326" s="4" t="s">
        <v>5594</v>
      </c>
      <c r="H326" s="4" t="s">
        <v>5717</v>
      </c>
      <c r="I326" s="4" t="s">
        <v>5681</v>
      </c>
      <c r="J326" s="2">
        <v>34719</v>
      </c>
      <c r="K326" s="1" t="s">
        <v>19</v>
      </c>
      <c r="L326" s="1" t="s">
        <v>20</v>
      </c>
      <c r="M326" s="1" t="s">
        <v>1638</v>
      </c>
      <c r="N326" s="1" t="s">
        <v>1639</v>
      </c>
      <c r="O326" s="1" t="s">
        <v>23</v>
      </c>
      <c r="P326" s="1" t="s">
        <v>1640</v>
      </c>
      <c r="Q326" s="1">
        <f>31-614534800</f>
        <v>-614534769</v>
      </c>
      <c r="R326" s="1">
        <v>2013</v>
      </c>
    </row>
    <row r="327" spans="1:20" ht="15" customHeight="1" x14ac:dyDescent="0.25">
      <c r="A327" s="4" t="s">
        <v>15</v>
      </c>
      <c r="B327" s="1">
        <v>4313542</v>
      </c>
      <c r="C327" s="35" t="s">
        <v>6071</v>
      </c>
      <c r="D327" s="29" t="s">
        <v>1641</v>
      </c>
      <c r="E327" s="1" t="s">
        <v>1642</v>
      </c>
      <c r="F327" s="1" t="s">
        <v>1643</v>
      </c>
      <c r="G327" s="4" t="s">
        <v>5594</v>
      </c>
      <c r="H327" s="4" t="s">
        <v>5717</v>
      </c>
      <c r="I327" s="4" t="s">
        <v>5681</v>
      </c>
      <c r="J327" s="2">
        <v>34629</v>
      </c>
      <c r="K327" s="1" t="s">
        <v>19</v>
      </c>
      <c r="L327" s="1" t="s">
        <v>20</v>
      </c>
      <c r="M327" s="1" t="s">
        <v>1644</v>
      </c>
      <c r="N327" s="1" t="s">
        <v>1645</v>
      </c>
      <c r="O327" s="1" t="s">
        <v>23</v>
      </c>
      <c r="P327" s="1" t="s">
        <v>1646</v>
      </c>
      <c r="Q327" s="1">
        <f>31-635015629</f>
        <v>-635015598</v>
      </c>
      <c r="R327" s="1">
        <v>2013</v>
      </c>
    </row>
    <row r="328" spans="1:20" ht="15" customHeight="1" x14ac:dyDescent="0.25">
      <c r="A328" s="4" t="s">
        <v>15</v>
      </c>
      <c r="B328" s="1">
        <v>4283449</v>
      </c>
      <c r="C328" s="35" t="s">
        <v>6072</v>
      </c>
      <c r="D328" s="29" t="s">
        <v>1647</v>
      </c>
      <c r="E328" s="1" t="s">
        <v>1648</v>
      </c>
      <c r="F328" s="1" t="s">
        <v>1649</v>
      </c>
      <c r="G328" s="4" t="s">
        <v>5594</v>
      </c>
      <c r="H328" s="4" t="s">
        <v>5717</v>
      </c>
      <c r="I328" s="4" t="s">
        <v>5681</v>
      </c>
      <c r="J328" s="2">
        <v>34659</v>
      </c>
      <c r="K328" s="1" t="s">
        <v>19</v>
      </c>
      <c r="L328" s="1" t="s">
        <v>20</v>
      </c>
      <c r="M328" s="1" t="s">
        <v>1650</v>
      </c>
      <c r="N328" s="1" t="s">
        <v>1651</v>
      </c>
      <c r="O328" s="1" t="s">
        <v>23</v>
      </c>
      <c r="P328" s="1" t="s">
        <v>1652</v>
      </c>
      <c r="Q328" s="1">
        <f>31-650992158</f>
        <v>-650992127</v>
      </c>
      <c r="R328" s="1">
        <v>2013</v>
      </c>
    </row>
    <row r="329" spans="1:20" ht="15" customHeight="1" x14ac:dyDescent="0.25">
      <c r="A329" s="4" t="s">
        <v>15</v>
      </c>
      <c r="B329" s="1">
        <v>4155866</v>
      </c>
      <c r="C329" s="35" t="s">
        <v>6073</v>
      </c>
      <c r="D329" s="29" t="s">
        <v>5250</v>
      </c>
      <c r="E329" s="1" t="s">
        <v>5251</v>
      </c>
      <c r="F329" s="1" t="s">
        <v>218</v>
      </c>
      <c r="G329" s="4" t="s">
        <v>5595</v>
      </c>
      <c r="H329" s="4" t="s">
        <v>5717</v>
      </c>
      <c r="I329" s="4" t="s">
        <v>5680</v>
      </c>
      <c r="J329" s="2">
        <v>33920</v>
      </c>
      <c r="K329" s="1" t="s">
        <v>19</v>
      </c>
      <c r="L329" s="1" t="s">
        <v>20</v>
      </c>
      <c r="O329" s="1" t="s">
        <v>23</v>
      </c>
      <c r="P329" s="10" t="s">
        <v>5252</v>
      </c>
      <c r="Q329" s="1">
        <v>-613167160</v>
      </c>
      <c r="R329" s="1">
        <v>2013</v>
      </c>
      <c r="T329" s="1" t="s">
        <v>5217</v>
      </c>
    </row>
    <row r="330" spans="1:20" ht="15" customHeight="1" x14ac:dyDescent="0.25">
      <c r="A330" s="4" t="s">
        <v>15</v>
      </c>
      <c r="B330" s="1">
        <v>4302478</v>
      </c>
      <c r="C330" s="35" t="s">
        <v>6074</v>
      </c>
      <c r="D330" s="29" t="s">
        <v>1653</v>
      </c>
      <c r="E330" s="1" t="s">
        <v>1654</v>
      </c>
      <c r="F330" s="1" t="s">
        <v>539</v>
      </c>
      <c r="G330" s="4" t="s">
        <v>5595</v>
      </c>
      <c r="H330" s="4" t="s">
        <v>5717</v>
      </c>
      <c r="I330" s="4" t="s">
        <v>5680</v>
      </c>
      <c r="J330" s="2">
        <v>34708</v>
      </c>
      <c r="K330" s="1" t="s">
        <v>19</v>
      </c>
      <c r="L330" s="1" t="s">
        <v>20</v>
      </c>
      <c r="M330" s="1" t="s">
        <v>1655</v>
      </c>
      <c r="N330" s="1" t="s">
        <v>1656</v>
      </c>
      <c r="O330" s="1" t="s">
        <v>23</v>
      </c>
      <c r="P330" s="1" t="s">
        <v>1657</v>
      </c>
      <c r="Q330" s="1">
        <f>31-643572774</f>
        <v>-643572743</v>
      </c>
      <c r="R330" s="1">
        <v>2013</v>
      </c>
    </row>
    <row r="331" spans="1:20" ht="15" customHeight="1" x14ac:dyDescent="0.25">
      <c r="A331" s="4" t="s">
        <v>15</v>
      </c>
      <c r="B331" s="1">
        <v>4301595</v>
      </c>
      <c r="C331" s="35" t="s">
        <v>6075</v>
      </c>
      <c r="D331" s="29" t="s">
        <v>1658</v>
      </c>
      <c r="E331" s="1" t="s">
        <v>1659</v>
      </c>
      <c r="F331" s="1" t="s">
        <v>939</v>
      </c>
      <c r="G331" s="4" t="s">
        <v>5595</v>
      </c>
      <c r="H331" s="4" t="s">
        <v>5717</v>
      </c>
      <c r="I331" s="4" t="s">
        <v>5680</v>
      </c>
      <c r="J331" s="2">
        <v>34738</v>
      </c>
      <c r="K331" s="1" t="s">
        <v>19</v>
      </c>
      <c r="L331" s="1" t="s">
        <v>20</v>
      </c>
      <c r="M331" s="1" t="s">
        <v>1660</v>
      </c>
      <c r="N331" s="1" t="s">
        <v>1661</v>
      </c>
      <c r="O331" s="1" t="s">
        <v>23</v>
      </c>
      <c r="P331" s="1" t="s">
        <v>1662</v>
      </c>
      <c r="R331" s="1">
        <v>2013</v>
      </c>
    </row>
    <row r="332" spans="1:20" ht="15" customHeight="1" x14ac:dyDescent="0.25">
      <c r="A332" s="4" t="s">
        <v>15</v>
      </c>
      <c r="B332" s="1">
        <v>4224620</v>
      </c>
      <c r="C332" s="35" t="s">
        <v>6076</v>
      </c>
      <c r="D332" s="29" t="s">
        <v>1663</v>
      </c>
      <c r="E332" s="1" t="s">
        <v>1664</v>
      </c>
      <c r="F332" s="1" t="s">
        <v>696</v>
      </c>
      <c r="G332" s="4" t="s">
        <v>5595</v>
      </c>
      <c r="H332" s="4" t="s">
        <v>5717</v>
      </c>
      <c r="I332" s="4" t="s">
        <v>5680</v>
      </c>
      <c r="J332" s="2">
        <v>34211</v>
      </c>
      <c r="K332" s="1" t="s">
        <v>19</v>
      </c>
      <c r="L332" s="1" t="s">
        <v>20</v>
      </c>
      <c r="M332" s="1" t="s">
        <v>1665</v>
      </c>
      <c r="N332" s="1" t="s">
        <v>1666</v>
      </c>
      <c r="O332" s="1" t="s">
        <v>23</v>
      </c>
      <c r="P332" s="1" t="s">
        <v>1667</v>
      </c>
      <c r="Q332" s="1">
        <f>31-634470574</f>
        <v>-634470543</v>
      </c>
      <c r="R332" s="1">
        <v>2012</v>
      </c>
      <c r="S332" s="1" t="s">
        <v>5227</v>
      </c>
    </row>
    <row r="333" spans="1:20" ht="15" customHeight="1" x14ac:dyDescent="0.25">
      <c r="A333" s="4" t="s">
        <v>15</v>
      </c>
      <c r="B333" s="1">
        <v>4271491</v>
      </c>
      <c r="C333" s="35" t="s">
        <v>6077</v>
      </c>
      <c r="D333" s="29" t="s">
        <v>1668</v>
      </c>
      <c r="E333" s="1" t="s">
        <v>1669</v>
      </c>
      <c r="F333" s="1" t="s">
        <v>54</v>
      </c>
      <c r="G333" s="4" t="s">
        <v>5595</v>
      </c>
      <c r="H333" s="4" t="s">
        <v>5717</v>
      </c>
      <c r="I333" s="4" t="s">
        <v>5680</v>
      </c>
      <c r="J333" s="2">
        <v>34740</v>
      </c>
      <c r="K333" s="1" t="s">
        <v>19</v>
      </c>
      <c r="L333" s="1" t="s">
        <v>20</v>
      </c>
      <c r="M333" s="1" t="s">
        <v>1670</v>
      </c>
      <c r="N333" s="1" t="s">
        <v>1671</v>
      </c>
      <c r="O333" s="1" t="s">
        <v>23</v>
      </c>
      <c r="P333" s="1" t="s">
        <v>1672</v>
      </c>
      <c r="Q333" s="1">
        <f>31-642876083</f>
        <v>-642876052</v>
      </c>
      <c r="R333" s="1">
        <v>2013</v>
      </c>
    </row>
    <row r="334" spans="1:20" ht="15" customHeight="1" x14ac:dyDescent="0.25">
      <c r="A334" s="4" t="s">
        <v>15</v>
      </c>
      <c r="B334" s="1">
        <v>4276647</v>
      </c>
      <c r="C334" s="35" t="s">
        <v>6078</v>
      </c>
      <c r="D334" s="29" t="s">
        <v>1351</v>
      </c>
      <c r="E334" s="1" t="s">
        <v>1673</v>
      </c>
      <c r="F334" s="1" t="s">
        <v>265</v>
      </c>
      <c r="G334" s="4" t="s">
        <v>5595</v>
      </c>
      <c r="H334" s="4" t="s">
        <v>5717</v>
      </c>
      <c r="I334" s="4" t="s">
        <v>5680</v>
      </c>
      <c r="J334" s="2">
        <v>34346</v>
      </c>
      <c r="K334" s="1" t="s">
        <v>19</v>
      </c>
      <c r="L334" s="1" t="s">
        <v>20</v>
      </c>
      <c r="M334" s="1" t="s">
        <v>1674</v>
      </c>
      <c r="N334" s="1" t="s">
        <v>1675</v>
      </c>
      <c r="O334" s="1" t="s">
        <v>23</v>
      </c>
      <c r="P334" s="1" t="s">
        <v>1676</v>
      </c>
      <c r="Q334" s="1">
        <f>31-637225357</f>
        <v>-637225326</v>
      </c>
      <c r="R334" s="1">
        <v>2013</v>
      </c>
    </row>
    <row r="335" spans="1:20" ht="15" customHeight="1" x14ac:dyDescent="0.25">
      <c r="A335" s="4" t="s">
        <v>15</v>
      </c>
      <c r="B335" s="1">
        <v>4326539</v>
      </c>
      <c r="C335" s="35" t="s">
        <v>6079</v>
      </c>
      <c r="D335" s="29" t="s">
        <v>1677</v>
      </c>
      <c r="E335" s="1" t="s">
        <v>1678</v>
      </c>
      <c r="F335" s="1" t="s">
        <v>265</v>
      </c>
      <c r="G335" s="4" t="s">
        <v>5595</v>
      </c>
      <c r="H335" s="4" t="s">
        <v>5717</v>
      </c>
      <c r="I335" s="4" t="s">
        <v>5680</v>
      </c>
      <c r="J335" s="2">
        <v>34833</v>
      </c>
      <c r="K335" s="1" t="s">
        <v>19</v>
      </c>
      <c r="L335" s="1" t="s">
        <v>20</v>
      </c>
      <c r="M335" s="1" t="s">
        <v>1679</v>
      </c>
      <c r="N335" s="1" t="s">
        <v>1680</v>
      </c>
      <c r="O335" s="1" t="s">
        <v>23</v>
      </c>
      <c r="P335" s="1" t="s">
        <v>1681</v>
      </c>
      <c r="R335" s="1">
        <v>2013</v>
      </c>
    </row>
    <row r="336" spans="1:20" ht="15" customHeight="1" x14ac:dyDescent="0.25">
      <c r="A336" s="4" t="s">
        <v>15</v>
      </c>
      <c r="B336" s="1">
        <v>4304128</v>
      </c>
      <c r="C336" s="35" t="s">
        <v>6080</v>
      </c>
      <c r="D336" s="29" t="s">
        <v>1682</v>
      </c>
      <c r="E336" s="1" t="s">
        <v>1683</v>
      </c>
      <c r="F336" s="1" t="s">
        <v>998</v>
      </c>
      <c r="G336" s="4" t="s">
        <v>5595</v>
      </c>
      <c r="H336" s="4" t="s">
        <v>5717</v>
      </c>
      <c r="I336" s="4" t="s">
        <v>5680</v>
      </c>
      <c r="J336" s="2">
        <v>34748</v>
      </c>
      <c r="K336" s="1" t="s">
        <v>19</v>
      </c>
      <c r="L336" s="1" t="s">
        <v>20</v>
      </c>
      <c r="M336" s="1" t="s">
        <v>1684</v>
      </c>
      <c r="N336" s="1" t="s">
        <v>1685</v>
      </c>
      <c r="O336" s="1" t="s">
        <v>23</v>
      </c>
      <c r="P336" s="1" t="s">
        <v>1686</v>
      </c>
      <c r="Q336" s="1">
        <f>31-619489198</f>
        <v>-619489167</v>
      </c>
      <c r="R336" s="1">
        <v>2013</v>
      </c>
    </row>
    <row r="337" spans="1:19" ht="15" customHeight="1" x14ac:dyDescent="0.25">
      <c r="A337" s="4" t="s">
        <v>15</v>
      </c>
      <c r="B337" s="1">
        <v>4291476</v>
      </c>
      <c r="C337" s="35" t="s">
        <v>6081</v>
      </c>
      <c r="D337" s="29" t="s">
        <v>1493</v>
      </c>
      <c r="E337" s="1" t="s">
        <v>1687</v>
      </c>
      <c r="F337" s="1" t="s">
        <v>1688</v>
      </c>
      <c r="G337" s="4" t="s">
        <v>5596</v>
      </c>
      <c r="H337" s="4" t="s">
        <v>5717</v>
      </c>
      <c r="I337" s="4" t="s">
        <v>5680</v>
      </c>
      <c r="J337" s="2">
        <v>34555</v>
      </c>
      <c r="K337" s="1" t="s">
        <v>19</v>
      </c>
      <c r="L337" s="1" t="s">
        <v>20</v>
      </c>
      <c r="M337" s="1" t="s">
        <v>1689</v>
      </c>
      <c r="N337" s="1" t="s">
        <v>1690</v>
      </c>
      <c r="O337" s="1" t="s">
        <v>23</v>
      </c>
      <c r="P337" s="1" t="s">
        <v>1691</v>
      </c>
      <c r="Q337" s="1">
        <f>31-634536653</f>
        <v>-634536622</v>
      </c>
      <c r="R337" s="1">
        <v>2013</v>
      </c>
    </row>
    <row r="338" spans="1:19" ht="15" customHeight="1" x14ac:dyDescent="0.25">
      <c r="A338" s="4" t="s">
        <v>15</v>
      </c>
      <c r="B338" s="1">
        <v>4287177</v>
      </c>
      <c r="C338" s="35" t="s">
        <v>6082</v>
      </c>
      <c r="D338" s="29" t="s">
        <v>1692</v>
      </c>
      <c r="E338" s="1" t="s">
        <v>1693</v>
      </c>
      <c r="F338" s="1" t="s">
        <v>130</v>
      </c>
      <c r="G338" s="4" t="s">
        <v>5596</v>
      </c>
      <c r="H338" s="4" t="s">
        <v>5717</v>
      </c>
      <c r="I338" s="4" t="s">
        <v>5680</v>
      </c>
      <c r="J338" s="2">
        <v>35010</v>
      </c>
      <c r="K338" s="1" t="s">
        <v>19</v>
      </c>
      <c r="L338" s="1" t="s">
        <v>20</v>
      </c>
      <c r="M338" s="1" t="s">
        <v>1694</v>
      </c>
      <c r="N338" s="1" t="s">
        <v>1695</v>
      </c>
      <c r="O338" s="1" t="s">
        <v>23</v>
      </c>
      <c r="P338" s="1" t="s">
        <v>1696</v>
      </c>
      <c r="Q338" s="1">
        <f>31-618971315</f>
        <v>-618971284</v>
      </c>
      <c r="R338" s="1">
        <v>2013</v>
      </c>
    </row>
    <row r="339" spans="1:19" ht="15" customHeight="1" x14ac:dyDescent="0.25">
      <c r="A339" s="4" t="s">
        <v>15</v>
      </c>
      <c r="B339" s="1">
        <v>4289234</v>
      </c>
      <c r="C339" s="35" t="s">
        <v>6083</v>
      </c>
      <c r="D339" s="29" t="s">
        <v>1725</v>
      </c>
      <c r="E339" s="1" t="s">
        <v>1726</v>
      </c>
      <c r="F339" s="1" t="s">
        <v>1727</v>
      </c>
      <c r="G339" s="4" t="s">
        <v>5596</v>
      </c>
      <c r="H339" s="4" t="s">
        <v>5717</v>
      </c>
      <c r="I339" s="4" t="s">
        <v>5680</v>
      </c>
      <c r="J339" s="2">
        <v>34808</v>
      </c>
      <c r="K339" s="1" t="s">
        <v>19</v>
      </c>
      <c r="L339" s="1" t="s">
        <v>111</v>
      </c>
      <c r="M339" s="1" t="s">
        <v>1728</v>
      </c>
      <c r="N339" s="1" t="s">
        <v>1729</v>
      </c>
      <c r="O339" s="1" t="s">
        <v>23</v>
      </c>
      <c r="P339" s="1" t="s">
        <v>1730</v>
      </c>
      <c r="Q339" s="1">
        <f>31-622197003</f>
        <v>-622196972</v>
      </c>
      <c r="R339" s="1">
        <v>2013</v>
      </c>
    </row>
    <row r="340" spans="1:19" ht="15" customHeight="1" x14ac:dyDescent="0.25">
      <c r="A340" s="4" t="s">
        <v>15</v>
      </c>
      <c r="B340" s="1">
        <v>4319117</v>
      </c>
      <c r="C340" s="35" t="s">
        <v>6084</v>
      </c>
      <c r="D340" s="29" t="s">
        <v>1697</v>
      </c>
      <c r="E340" s="1" t="s">
        <v>1698</v>
      </c>
      <c r="F340" s="1" t="s">
        <v>637</v>
      </c>
      <c r="G340" s="4" t="s">
        <v>5596</v>
      </c>
      <c r="H340" s="4" t="s">
        <v>5717</v>
      </c>
      <c r="I340" s="4" t="s">
        <v>5680</v>
      </c>
      <c r="J340" s="2">
        <v>34330</v>
      </c>
      <c r="K340" s="1" t="s">
        <v>19</v>
      </c>
      <c r="L340" s="1" t="s">
        <v>20</v>
      </c>
      <c r="M340" s="1" t="s">
        <v>1699</v>
      </c>
      <c r="N340" s="1" t="s">
        <v>1700</v>
      </c>
      <c r="O340" s="1" t="s">
        <v>23</v>
      </c>
      <c r="P340" s="1" t="s">
        <v>1701</v>
      </c>
      <c r="Q340" s="1">
        <f>31-623471037</f>
        <v>-623471006</v>
      </c>
      <c r="R340" s="1">
        <v>2013</v>
      </c>
    </row>
    <row r="341" spans="1:19" ht="15" customHeight="1" x14ac:dyDescent="0.25">
      <c r="A341" s="4" t="s">
        <v>15</v>
      </c>
      <c r="B341" s="1">
        <v>4309219</v>
      </c>
      <c r="C341" s="35" t="s">
        <v>6085</v>
      </c>
      <c r="D341" s="29" t="s">
        <v>1702</v>
      </c>
      <c r="E341" s="1" t="s">
        <v>1703</v>
      </c>
      <c r="F341" s="1" t="s">
        <v>1704</v>
      </c>
      <c r="G341" s="4" t="s">
        <v>5596</v>
      </c>
      <c r="H341" s="4" t="s">
        <v>5717</v>
      </c>
      <c r="I341" s="4" t="s">
        <v>5680</v>
      </c>
      <c r="J341" s="2">
        <v>34498</v>
      </c>
      <c r="K341" s="1" t="s">
        <v>19</v>
      </c>
      <c r="L341" s="1" t="s">
        <v>20</v>
      </c>
      <c r="M341" s="1" t="s">
        <v>1705</v>
      </c>
      <c r="N341" s="1" t="s">
        <v>1706</v>
      </c>
      <c r="O341" s="1" t="s">
        <v>23</v>
      </c>
      <c r="P341" s="1" t="s">
        <v>1707</v>
      </c>
      <c r="Q341" s="1">
        <f>31-642685807</f>
        <v>-642685776</v>
      </c>
      <c r="R341" s="1">
        <v>2013</v>
      </c>
    </row>
    <row r="342" spans="1:19" ht="15" customHeight="1" x14ac:dyDescent="0.25">
      <c r="A342" s="4" t="s">
        <v>15</v>
      </c>
      <c r="B342" s="1">
        <v>4299299</v>
      </c>
      <c r="C342" s="35" t="s">
        <v>6086</v>
      </c>
      <c r="D342" s="29" t="s">
        <v>1708</v>
      </c>
      <c r="E342" s="1" t="s">
        <v>1709</v>
      </c>
      <c r="F342" s="1" t="s">
        <v>1710</v>
      </c>
      <c r="G342" s="4" t="s">
        <v>5596</v>
      </c>
      <c r="H342" s="4" t="s">
        <v>5717</v>
      </c>
      <c r="I342" s="4" t="s">
        <v>5680</v>
      </c>
      <c r="J342" s="2">
        <v>34627</v>
      </c>
      <c r="K342" s="1" t="s">
        <v>19</v>
      </c>
      <c r="L342" s="1" t="s">
        <v>20</v>
      </c>
      <c r="M342" s="1" t="s">
        <v>1711</v>
      </c>
      <c r="N342" s="1" t="s">
        <v>1712</v>
      </c>
      <c r="O342" s="1" t="s">
        <v>23</v>
      </c>
      <c r="P342" s="1" t="s">
        <v>1713</v>
      </c>
      <c r="Q342" s="1">
        <f>31-636060844</f>
        <v>-636060813</v>
      </c>
      <c r="R342" s="1">
        <v>2013</v>
      </c>
    </row>
    <row r="343" spans="1:19" ht="15" customHeight="1" x14ac:dyDescent="0.25">
      <c r="A343" s="4" t="s">
        <v>15</v>
      </c>
      <c r="B343" s="1">
        <v>4272455</v>
      </c>
      <c r="C343" s="35" t="s">
        <v>6087</v>
      </c>
      <c r="D343" s="29" t="s">
        <v>1714</v>
      </c>
      <c r="E343" s="1" t="s">
        <v>1715</v>
      </c>
      <c r="F343" s="1" t="s">
        <v>1716</v>
      </c>
      <c r="G343" s="4" t="s">
        <v>5596</v>
      </c>
      <c r="H343" s="4" t="s">
        <v>5717</v>
      </c>
      <c r="I343" s="4" t="s">
        <v>5680</v>
      </c>
      <c r="J343" s="2">
        <v>34886</v>
      </c>
      <c r="K343" s="1" t="s">
        <v>19</v>
      </c>
      <c r="L343" s="1" t="s">
        <v>20</v>
      </c>
      <c r="M343" s="1" t="s">
        <v>1717</v>
      </c>
      <c r="N343" s="1" t="s">
        <v>1718</v>
      </c>
      <c r="O343" s="1" t="s">
        <v>23</v>
      </c>
      <c r="P343" s="1" t="s">
        <v>1719</v>
      </c>
      <c r="Q343" s="1">
        <f>31-622013238</f>
        <v>-622013207</v>
      </c>
      <c r="R343" s="1">
        <v>2013</v>
      </c>
    </row>
    <row r="344" spans="1:19" ht="15" customHeight="1" x14ac:dyDescent="0.25">
      <c r="A344" s="4" t="s">
        <v>15</v>
      </c>
      <c r="B344" s="1">
        <v>4220900</v>
      </c>
      <c r="C344" s="35" t="s">
        <v>6088</v>
      </c>
      <c r="D344" s="29" t="s">
        <v>1720</v>
      </c>
      <c r="E344" s="1" t="s">
        <v>1721</v>
      </c>
      <c r="F344" s="1" t="s">
        <v>443</v>
      </c>
      <c r="G344" s="4" t="s">
        <v>5596</v>
      </c>
      <c r="H344" s="4" t="s">
        <v>5717</v>
      </c>
      <c r="I344" s="4" t="s">
        <v>5680</v>
      </c>
      <c r="J344" s="2">
        <v>34569</v>
      </c>
      <c r="K344" s="1" t="s">
        <v>19</v>
      </c>
      <c r="L344" s="1" t="s">
        <v>20</v>
      </c>
      <c r="M344" s="1" t="s">
        <v>1722</v>
      </c>
      <c r="N344" s="1" t="s">
        <v>1723</v>
      </c>
      <c r="O344" s="1" t="s">
        <v>23</v>
      </c>
      <c r="P344" s="1" t="s">
        <v>1724</v>
      </c>
      <c r="Q344" s="1">
        <f>31-610788608</f>
        <v>-610788577</v>
      </c>
      <c r="R344" s="1">
        <v>2012</v>
      </c>
      <c r="S344" s="1" t="s">
        <v>5232</v>
      </c>
    </row>
    <row r="345" spans="1:19" ht="15" customHeight="1" x14ac:dyDescent="0.25">
      <c r="A345" s="4" t="s">
        <v>15</v>
      </c>
      <c r="B345" s="1">
        <v>4157877</v>
      </c>
      <c r="C345" s="35" t="s">
        <v>6089</v>
      </c>
      <c r="D345" s="29" t="s">
        <v>1731</v>
      </c>
      <c r="E345" s="1" t="s">
        <v>1732</v>
      </c>
      <c r="F345" s="1" t="s">
        <v>1733</v>
      </c>
      <c r="G345" s="4" t="s">
        <v>5597</v>
      </c>
      <c r="H345" s="4" t="s">
        <v>5717</v>
      </c>
      <c r="I345" s="4" t="s">
        <v>5682</v>
      </c>
      <c r="J345" s="2">
        <v>33741</v>
      </c>
      <c r="K345" s="1" t="s">
        <v>19</v>
      </c>
      <c r="L345" s="1" t="s">
        <v>20</v>
      </c>
      <c r="M345" s="1" t="s">
        <v>1734</v>
      </c>
      <c r="N345" s="1" t="s">
        <v>1735</v>
      </c>
      <c r="O345" s="1" t="s">
        <v>23</v>
      </c>
      <c r="P345" s="1" t="s">
        <v>1736</v>
      </c>
      <c r="Q345" s="1">
        <f>31-625005958</f>
        <v>-625005927</v>
      </c>
      <c r="R345" s="1">
        <v>2013</v>
      </c>
    </row>
    <row r="346" spans="1:19" ht="15" customHeight="1" x14ac:dyDescent="0.25">
      <c r="A346" s="4" t="s">
        <v>15</v>
      </c>
      <c r="B346" s="1">
        <v>4318064</v>
      </c>
      <c r="C346" s="35" t="s">
        <v>6090</v>
      </c>
      <c r="D346" s="1" t="s">
        <v>3933</v>
      </c>
      <c r="E346" s="1" t="s">
        <v>3934</v>
      </c>
      <c r="F346" s="1" t="s">
        <v>928</v>
      </c>
      <c r="G346" s="4" t="s">
        <v>5597</v>
      </c>
      <c r="H346" s="4" t="s">
        <v>5717</v>
      </c>
      <c r="I346" s="4" t="s">
        <v>5682</v>
      </c>
      <c r="J346" s="2">
        <v>34894</v>
      </c>
      <c r="K346" s="1" t="s">
        <v>19</v>
      </c>
      <c r="L346" s="1" t="s">
        <v>20</v>
      </c>
      <c r="M346" s="1" t="s">
        <v>3935</v>
      </c>
      <c r="N346" s="1" t="s">
        <v>3936</v>
      </c>
      <c r="O346" s="1" t="s">
        <v>23</v>
      </c>
      <c r="P346" s="1" t="s">
        <v>3937</v>
      </c>
      <c r="Q346" s="1">
        <f>31-657348632</f>
        <v>-657348601</v>
      </c>
      <c r="R346" s="1">
        <v>2013</v>
      </c>
    </row>
    <row r="347" spans="1:19" ht="15" customHeight="1" x14ac:dyDescent="0.25">
      <c r="A347" s="4" t="s">
        <v>15</v>
      </c>
      <c r="B347" s="1">
        <v>4328868</v>
      </c>
      <c r="C347" s="35" t="s">
        <v>6091</v>
      </c>
      <c r="D347" s="29" t="s">
        <v>1763</v>
      </c>
      <c r="E347" s="1" t="s">
        <v>1764</v>
      </c>
      <c r="F347" s="1" t="s">
        <v>1765</v>
      </c>
      <c r="G347" s="4" t="s">
        <v>5597</v>
      </c>
      <c r="H347" s="4" t="s">
        <v>5717</v>
      </c>
      <c r="I347" s="4" t="s">
        <v>5682</v>
      </c>
      <c r="J347" s="2">
        <v>34826</v>
      </c>
      <c r="K347" s="1" t="s">
        <v>19</v>
      </c>
      <c r="L347" s="1" t="s">
        <v>111</v>
      </c>
      <c r="M347" s="1" t="s">
        <v>1766</v>
      </c>
      <c r="N347" s="1" t="s">
        <v>1767</v>
      </c>
      <c r="O347" s="1" t="s">
        <v>23</v>
      </c>
      <c r="P347" s="1" t="s">
        <v>1768</v>
      </c>
      <c r="Q347" s="1">
        <f>31-647919303</f>
        <v>-647919272</v>
      </c>
      <c r="R347" s="1">
        <v>2013</v>
      </c>
    </row>
    <row r="348" spans="1:19" ht="15" customHeight="1" x14ac:dyDescent="0.25">
      <c r="A348" s="4" t="s">
        <v>15</v>
      </c>
      <c r="B348" s="1">
        <v>4321006</v>
      </c>
      <c r="C348" s="35" t="s">
        <v>6092</v>
      </c>
      <c r="D348" s="29" t="s">
        <v>583</v>
      </c>
      <c r="E348" s="1" t="s">
        <v>1737</v>
      </c>
      <c r="F348" s="1" t="s">
        <v>1507</v>
      </c>
      <c r="G348" s="4" t="s">
        <v>5597</v>
      </c>
      <c r="H348" s="4" t="s">
        <v>5717</v>
      </c>
      <c r="I348" s="4" t="s">
        <v>5682</v>
      </c>
      <c r="J348" s="2">
        <v>34793</v>
      </c>
      <c r="K348" s="1" t="s">
        <v>19</v>
      </c>
      <c r="L348" s="1" t="s">
        <v>20</v>
      </c>
      <c r="M348" s="1" t="s">
        <v>586</v>
      </c>
      <c r="N348" s="1" t="s">
        <v>587</v>
      </c>
      <c r="O348" s="1" t="s">
        <v>23</v>
      </c>
      <c r="P348" s="1" t="s">
        <v>1738</v>
      </c>
      <c r="Q348" s="1">
        <f>31-642510557</f>
        <v>-642510526</v>
      </c>
      <c r="R348" s="1">
        <v>2013</v>
      </c>
    </row>
    <row r="349" spans="1:19" ht="15" customHeight="1" x14ac:dyDescent="0.25">
      <c r="A349" s="4" t="s">
        <v>15</v>
      </c>
      <c r="B349" s="1">
        <v>4307623</v>
      </c>
      <c r="C349" s="35" t="s">
        <v>6093</v>
      </c>
      <c r="D349" s="29" t="s">
        <v>1739</v>
      </c>
      <c r="E349" s="1" t="s">
        <v>1740</v>
      </c>
      <c r="F349" s="1" t="s">
        <v>1741</v>
      </c>
      <c r="G349" s="4" t="s">
        <v>5597</v>
      </c>
      <c r="H349" s="4" t="s">
        <v>5717</v>
      </c>
      <c r="I349" s="4" t="s">
        <v>5682</v>
      </c>
      <c r="J349" s="2">
        <v>34570</v>
      </c>
      <c r="K349" s="1" t="s">
        <v>19</v>
      </c>
      <c r="L349" s="1" t="s">
        <v>20</v>
      </c>
      <c r="M349" s="1" t="s">
        <v>1742</v>
      </c>
      <c r="N349" s="1" t="s">
        <v>1743</v>
      </c>
      <c r="O349" s="1" t="s">
        <v>23</v>
      </c>
      <c r="P349" s="1" t="s">
        <v>1744</v>
      </c>
      <c r="Q349" s="1">
        <f>31-639231821</f>
        <v>-639231790</v>
      </c>
      <c r="R349" s="1">
        <v>2013</v>
      </c>
    </row>
    <row r="350" spans="1:19" ht="15" customHeight="1" x14ac:dyDescent="0.25">
      <c r="A350" s="4" t="s">
        <v>15</v>
      </c>
      <c r="B350" s="1">
        <v>4321812</v>
      </c>
      <c r="C350" s="35" t="s">
        <v>6094</v>
      </c>
      <c r="D350" s="1" t="s">
        <v>5722</v>
      </c>
      <c r="E350" s="1" t="s">
        <v>5723</v>
      </c>
      <c r="F350" s="1" t="s">
        <v>5724</v>
      </c>
      <c r="G350" s="4" t="s">
        <v>5597</v>
      </c>
      <c r="H350" s="4" t="s">
        <v>5717</v>
      </c>
      <c r="I350" s="4" t="s">
        <v>5682</v>
      </c>
      <c r="J350" s="2">
        <v>34330</v>
      </c>
      <c r="K350" s="1" t="s">
        <v>19</v>
      </c>
      <c r="L350" s="1" t="s">
        <v>20</v>
      </c>
      <c r="R350" s="1">
        <v>2013</v>
      </c>
    </row>
    <row r="351" spans="1:19" ht="15" customHeight="1" x14ac:dyDescent="0.25">
      <c r="A351" s="4" t="s">
        <v>15</v>
      </c>
      <c r="B351" s="1">
        <v>4227174</v>
      </c>
      <c r="C351" s="35" t="s">
        <v>6095</v>
      </c>
      <c r="D351" s="29" t="s">
        <v>1745</v>
      </c>
      <c r="E351" s="1" t="s">
        <v>1746</v>
      </c>
      <c r="F351" s="1" t="s">
        <v>1747</v>
      </c>
      <c r="G351" s="4" t="s">
        <v>5597</v>
      </c>
      <c r="H351" s="4" t="s">
        <v>5717</v>
      </c>
      <c r="I351" s="4" t="s">
        <v>5682</v>
      </c>
      <c r="J351" s="2">
        <v>34568</v>
      </c>
      <c r="K351" s="1" t="s">
        <v>19</v>
      </c>
      <c r="L351" s="1" t="s">
        <v>20</v>
      </c>
      <c r="M351" s="1" t="s">
        <v>1748</v>
      </c>
      <c r="N351" s="1" t="s">
        <v>1749</v>
      </c>
      <c r="O351" s="1" t="s">
        <v>23</v>
      </c>
      <c r="P351" s="1" t="s">
        <v>1750</v>
      </c>
      <c r="Q351" s="1">
        <f>31-681522865</f>
        <v>-681522834</v>
      </c>
      <c r="R351" s="1">
        <v>2012</v>
      </c>
      <c r="S351" s="1" t="s">
        <v>5232</v>
      </c>
    </row>
    <row r="352" spans="1:19" ht="15" customHeight="1" x14ac:dyDescent="0.25">
      <c r="A352" s="4" t="s">
        <v>15</v>
      </c>
      <c r="B352" s="1">
        <v>4321049</v>
      </c>
      <c r="C352" s="35" t="s">
        <v>6096</v>
      </c>
      <c r="D352" s="29" t="s">
        <v>1751</v>
      </c>
      <c r="E352" s="1" t="s">
        <v>1752</v>
      </c>
      <c r="F352" s="1" t="s">
        <v>1753</v>
      </c>
      <c r="G352" s="4" t="s">
        <v>5597</v>
      </c>
      <c r="H352" s="4" t="s">
        <v>5717</v>
      </c>
      <c r="I352" s="4" t="s">
        <v>5682</v>
      </c>
      <c r="J352" s="2">
        <v>35101</v>
      </c>
      <c r="K352" s="1" t="s">
        <v>19</v>
      </c>
      <c r="L352" s="1" t="s">
        <v>20</v>
      </c>
      <c r="M352" s="1" t="s">
        <v>1754</v>
      </c>
      <c r="N352" s="1" t="s">
        <v>1755</v>
      </c>
      <c r="O352" s="1" t="s">
        <v>23</v>
      </c>
      <c r="P352" s="1" t="s">
        <v>1756</v>
      </c>
      <c r="Q352" s="1">
        <f>31-611672058</f>
        <v>-611672027</v>
      </c>
      <c r="R352" s="1">
        <v>2013</v>
      </c>
    </row>
    <row r="353" spans="1:19" ht="15" customHeight="1" x14ac:dyDescent="0.25">
      <c r="A353" s="4" t="s">
        <v>15</v>
      </c>
      <c r="B353" s="1">
        <v>4320204</v>
      </c>
      <c r="C353" s="35" t="s">
        <v>6097</v>
      </c>
      <c r="D353" s="29" t="s">
        <v>1757</v>
      </c>
      <c r="E353" s="1" t="s">
        <v>1758</v>
      </c>
      <c r="F353" s="1" t="s">
        <v>1759</v>
      </c>
      <c r="G353" s="4" t="s">
        <v>5597</v>
      </c>
      <c r="H353" s="4" t="s">
        <v>5717</v>
      </c>
      <c r="I353" s="4" t="s">
        <v>5682</v>
      </c>
      <c r="J353" s="2">
        <v>34536</v>
      </c>
      <c r="K353" s="1" t="s">
        <v>19</v>
      </c>
      <c r="L353" s="1" t="s">
        <v>20</v>
      </c>
      <c r="M353" s="1" t="s">
        <v>1760</v>
      </c>
      <c r="N353" s="1" t="s">
        <v>1761</v>
      </c>
      <c r="O353" s="1" t="s">
        <v>23</v>
      </c>
      <c r="P353" s="1" t="s">
        <v>1762</v>
      </c>
      <c r="R353" s="1">
        <v>2013</v>
      </c>
    </row>
    <row r="354" spans="1:19" ht="15" customHeight="1" x14ac:dyDescent="0.25">
      <c r="A354" s="4" t="s">
        <v>15</v>
      </c>
      <c r="B354" s="1">
        <v>4285247</v>
      </c>
      <c r="C354" s="35" t="s">
        <v>6098</v>
      </c>
      <c r="D354" s="29" t="s">
        <v>1769</v>
      </c>
      <c r="E354" s="1" t="s">
        <v>1770</v>
      </c>
      <c r="F354" s="1" t="s">
        <v>212</v>
      </c>
      <c r="G354" s="4" t="s">
        <v>5598</v>
      </c>
      <c r="H354" s="4" t="s">
        <v>5717</v>
      </c>
      <c r="I354" s="4" t="s">
        <v>5682</v>
      </c>
      <c r="J354" s="2">
        <v>34885</v>
      </c>
      <c r="K354" s="1" t="s">
        <v>19</v>
      </c>
      <c r="L354" s="1" t="s">
        <v>20</v>
      </c>
      <c r="M354" s="1" t="s">
        <v>1771</v>
      </c>
      <c r="N354" s="1" t="s">
        <v>1772</v>
      </c>
      <c r="O354" s="1" t="s">
        <v>23</v>
      </c>
      <c r="P354" s="1" t="s">
        <v>1773</v>
      </c>
      <c r="Q354" s="1">
        <f>31-657077959</f>
        <v>-657077928</v>
      </c>
      <c r="R354" s="1">
        <v>2013</v>
      </c>
    </row>
    <row r="355" spans="1:19" ht="15" customHeight="1" x14ac:dyDescent="0.25">
      <c r="A355" s="4" t="s">
        <v>15</v>
      </c>
      <c r="B355" s="1">
        <v>4295897</v>
      </c>
      <c r="C355" s="35" t="s">
        <v>6099</v>
      </c>
      <c r="D355" s="29" t="s">
        <v>1774</v>
      </c>
      <c r="E355" s="1" t="s">
        <v>1775</v>
      </c>
      <c r="F355" s="1" t="s">
        <v>1776</v>
      </c>
      <c r="G355" s="4" t="s">
        <v>5598</v>
      </c>
      <c r="H355" s="4" t="s">
        <v>5717</v>
      </c>
      <c r="I355" s="4" t="s">
        <v>5682</v>
      </c>
      <c r="J355" s="2">
        <v>34412</v>
      </c>
      <c r="K355" s="1" t="s">
        <v>19</v>
      </c>
      <c r="L355" s="1" t="s">
        <v>20</v>
      </c>
      <c r="M355" s="1" t="s">
        <v>1777</v>
      </c>
      <c r="N355" s="1" t="s">
        <v>1778</v>
      </c>
      <c r="O355" s="1" t="s">
        <v>23</v>
      </c>
      <c r="P355" s="1" t="s">
        <v>1779</v>
      </c>
      <c r="Q355" s="1">
        <f>31-642403941</f>
        <v>-642403910</v>
      </c>
      <c r="R355" s="1">
        <v>2013</v>
      </c>
    </row>
    <row r="356" spans="1:19" ht="15" customHeight="1" x14ac:dyDescent="0.25">
      <c r="A356" s="4" t="s">
        <v>15</v>
      </c>
      <c r="B356" s="1">
        <v>4281063</v>
      </c>
      <c r="C356" s="35" t="s">
        <v>6100</v>
      </c>
      <c r="D356" s="29" t="s">
        <v>1012</v>
      </c>
      <c r="E356" s="1" t="s">
        <v>1806</v>
      </c>
      <c r="F356" s="1" t="s">
        <v>1807</v>
      </c>
      <c r="G356" s="4" t="s">
        <v>5598</v>
      </c>
      <c r="H356" s="4" t="s">
        <v>5717</v>
      </c>
      <c r="I356" s="4" t="s">
        <v>5682</v>
      </c>
      <c r="J356" s="2">
        <v>34082</v>
      </c>
      <c r="K356" s="1" t="s">
        <v>19</v>
      </c>
      <c r="L356" s="1" t="s">
        <v>111</v>
      </c>
      <c r="M356" s="1" t="s">
        <v>1808</v>
      </c>
      <c r="N356" s="1" t="s">
        <v>1809</v>
      </c>
      <c r="O356" s="1" t="s">
        <v>23</v>
      </c>
      <c r="P356" s="1" t="s">
        <v>1810</v>
      </c>
      <c r="Q356" s="1">
        <f>31-649916400</f>
        <v>-649916369</v>
      </c>
      <c r="R356" s="1">
        <v>2013</v>
      </c>
    </row>
    <row r="357" spans="1:19" ht="15" customHeight="1" x14ac:dyDescent="0.25">
      <c r="A357" s="4" t="s">
        <v>15</v>
      </c>
      <c r="B357" s="1">
        <v>4313062</v>
      </c>
      <c r="C357" s="35" t="s">
        <v>6101</v>
      </c>
      <c r="D357" s="29" t="s">
        <v>1780</v>
      </c>
      <c r="E357" s="1" t="s">
        <v>1781</v>
      </c>
      <c r="F357" s="1" t="s">
        <v>289</v>
      </c>
      <c r="G357" s="4" t="s">
        <v>5598</v>
      </c>
      <c r="H357" s="4" t="s">
        <v>5717</v>
      </c>
      <c r="I357" s="4" t="s">
        <v>5682</v>
      </c>
      <c r="J357" s="2">
        <v>34082</v>
      </c>
      <c r="K357" s="1" t="s">
        <v>19</v>
      </c>
      <c r="L357" s="1" t="s">
        <v>20</v>
      </c>
      <c r="M357" s="1" t="s">
        <v>1782</v>
      </c>
      <c r="N357" s="1" t="s">
        <v>1783</v>
      </c>
      <c r="O357" s="1" t="s">
        <v>23</v>
      </c>
      <c r="P357" s="1" t="s">
        <v>1784</v>
      </c>
      <c r="Q357" s="1">
        <f>31-610528711</f>
        <v>-610528680</v>
      </c>
      <c r="R357" s="1">
        <v>2013</v>
      </c>
    </row>
    <row r="358" spans="1:19" ht="15" customHeight="1" x14ac:dyDescent="0.25">
      <c r="A358" s="4" t="s">
        <v>15</v>
      </c>
      <c r="B358" s="1">
        <v>4322029</v>
      </c>
      <c r="C358" s="35" t="s">
        <v>6102</v>
      </c>
      <c r="D358" s="29" t="s">
        <v>1785</v>
      </c>
      <c r="E358" s="1" t="s">
        <v>1786</v>
      </c>
      <c r="F358" s="1" t="s">
        <v>34</v>
      </c>
      <c r="G358" s="4" t="s">
        <v>5598</v>
      </c>
      <c r="H358" s="4" t="s">
        <v>5717</v>
      </c>
      <c r="I358" s="4" t="s">
        <v>5682</v>
      </c>
      <c r="J358" s="2">
        <v>34853</v>
      </c>
      <c r="K358" s="1" t="s">
        <v>19</v>
      </c>
      <c r="L358" s="1" t="s">
        <v>20</v>
      </c>
      <c r="M358" s="1" t="s">
        <v>1787</v>
      </c>
      <c r="N358" s="1" t="s">
        <v>1788</v>
      </c>
      <c r="O358" s="1" t="s">
        <v>23</v>
      </c>
      <c r="P358" s="1" t="s">
        <v>1789</v>
      </c>
      <c r="Q358" s="1">
        <f>31-642204733</f>
        <v>-642204702</v>
      </c>
      <c r="R358" s="1">
        <v>2013</v>
      </c>
    </row>
    <row r="359" spans="1:19" ht="15" customHeight="1" x14ac:dyDescent="0.25">
      <c r="A359" s="4" t="s">
        <v>15</v>
      </c>
      <c r="B359" s="1">
        <v>4244931</v>
      </c>
      <c r="C359" s="35" t="s">
        <v>6103</v>
      </c>
      <c r="D359" s="29" t="s">
        <v>1790</v>
      </c>
      <c r="E359" s="1" t="s">
        <v>1791</v>
      </c>
      <c r="F359" s="1" t="s">
        <v>1146</v>
      </c>
      <c r="G359" s="4" t="s">
        <v>5598</v>
      </c>
      <c r="H359" s="4" t="s">
        <v>5717</v>
      </c>
      <c r="I359" s="4" t="s">
        <v>5682</v>
      </c>
      <c r="J359" s="2">
        <v>34458</v>
      </c>
      <c r="K359" s="1" t="s">
        <v>19</v>
      </c>
      <c r="L359" s="1" t="s">
        <v>20</v>
      </c>
      <c r="M359" s="1" t="s">
        <v>1792</v>
      </c>
      <c r="N359" s="1" t="s">
        <v>1793</v>
      </c>
      <c r="O359" s="1" t="s">
        <v>23</v>
      </c>
      <c r="P359" s="1" t="s">
        <v>1794</v>
      </c>
      <c r="Q359" s="1">
        <f>31-646246653</f>
        <v>-646246622</v>
      </c>
      <c r="R359" s="1">
        <v>2012</v>
      </c>
      <c r="S359" s="1" t="s">
        <v>5230</v>
      </c>
    </row>
    <row r="360" spans="1:19" ht="15" customHeight="1" x14ac:dyDescent="0.25">
      <c r="A360" s="4" t="s">
        <v>15</v>
      </c>
      <c r="B360" s="1">
        <v>4293940</v>
      </c>
      <c r="C360" s="35" t="s">
        <v>6104</v>
      </c>
      <c r="D360" s="29" t="s">
        <v>1795</v>
      </c>
      <c r="E360" s="1" t="s">
        <v>1796</v>
      </c>
      <c r="F360" s="1" t="s">
        <v>1797</v>
      </c>
      <c r="G360" s="4" t="s">
        <v>5598</v>
      </c>
      <c r="H360" s="4" t="s">
        <v>5717</v>
      </c>
      <c r="I360" s="4" t="s">
        <v>5682</v>
      </c>
      <c r="J360" s="2">
        <v>35034</v>
      </c>
      <c r="K360" s="1" t="s">
        <v>19</v>
      </c>
      <c r="L360" s="1" t="s">
        <v>20</v>
      </c>
      <c r="M360" s="1" t="s">
        <v>1798</v>
      </c>
      <c r="N360" s="1" t="s">
        <v>1799</v>
      </c>
      <c r="O360" s="1" t="s">
        <v>23</v>
      </c>
      <c r="P360" s="1" t="s">
        <v>1800</v>
      </c>
      <c r="Q360" s="1">
        <f>31-621561605</f>
        <v>-621561574</v>
      </c>
      <c r="R360" s="1">
        <v>2013</v>
      </c>
    </row>
    <row r="361" spans="1:19" ht="15" customHeight="1" x14ac:dyDescent="0.25">
      <c r="A361" s="4" t="s">
        <v>15</v>
      </c>
      <c r="B361" s="1">
        <v>4298187</v>
      </c>
      <c r="C361" s="35" t="s">
        <v>6105</v>
      </c>
      <c r="D361" s="29" t="s">
        <v>1801</v>
      </c>
      <c r="E361" s="1" t="s">
        <v>1802</v>
      </c>
      <c r="F361" s="1" t="s">
        <v>265</v>
      </c>
      <c r="G361" s="4" t="s">
        <v>5598</v>
      </c>
      <c r="H361" s="4" t="s">
        <v>5717</v>
      </c>
      <c r="I361" s="4" t="s">
        <v>5682</v>
      </c>
      <c r="J361" s="2">
        <v>34966</v>
      </c>
      <c r="K361" s="1" t="s">
        <v>19</v>
      </c>
      <c r="L361" s="1" t="s">
        <v>20</v>
      </c>
      <c r="M361" s="1" t="s">
        <v>1803</v>
      </c>
      <c r="N361" s="1" t="s">
        <v>1804</v>
      </c>
      <c r="O361" s="1" t="s">
        <v>23</v>
      </c>
      <c r="P361" s="1" t="s">
        <v>1805</v>
      </c>
      <c r="Q361" s="1">
        <f>31-612215149</f>
        <v>-612215118</v>
      </c>
      <c r="R361" s="1">
        <v>2013</v>
      </c>
    </row>
    <row r="362" spans="1:19" ht="15" customHeight="1" x14ac:dyDescent="0.25">
      <c r="A362" s="4" t="s">
        <v>15</v>
      </c>
      <c r="B362" s="1">
        <v>4308743</v>
      </c>
      <c r="C362" s="35" t="s">
        <v>6106</v>
      </c>
      <c r="D362" s="29" t="s">
        <v>1811</v>
      </c>
      <c r="E362" s="1" t="s">
        <v>1812</v>
      </c>
      <c r="F362" s="1" t="s">
        <v>1813</v>
      </c>
      <c r="G362" s="4" t="s">
        <v>5599</v>
      </c>
      <c r="H362" s="4" t="s">
        <v>5717</v>
      </c>
      <c r="I362" s="4" t="s">
        <v>5683</v>
      </c>
      <c r="J362" s="2">
        <v>34901</v>
      </c>
      <c r="K362" s="1" t="s">
        <v>19</v>
      </c>
      <c r="L362" s="1" t="s">
        <v>20</v>
      </c>
      <c r="M362" s="1" t="s">
        <v>1814</v>
      </c>
      <c r="N362" s="1" t="s">
        <v>1815</v>
      </c>
      <c r="O362" s="1" t="s">
        <v>23</v>
      </c>
      <c r="P362" s="1" t="s">
        <v>1816</v>
      </c>
      <c r="Q362" s="1">
        <f>31-613860231</f>
        <v>-613860200</v>
      </c>
      <c r="R362" s="1">
        <v>2013</v>
      </c>
    </row>
    <row r="363" spans="1:19" ht="15" customHeight="1" x14ac:dyDescent="0.25">
      <c r="A363" s="4" t="s">
        <v>15</v>
      </c>
      <c r="B363" s="1">
        <v>4294831</v>
      </c>
      <c r="C363" s="35" t="s">
        <v>6107</v>
      </c>
      <c r="D363" s="29" t="s">
        <v>1817</v>
      </c>
      <c r="E363" s="1" t="s">
        <v>1818</v>
      </c>
      <c r="F363" s="1" t="s">
        <v>1819</v>
      </c>
      <c r="G363" s="4" t="s">
        <v>5599</v>
      </c>
      <c r="H363" s="4" t="s">
        <v>5717</v>
      </c>
      <c r="I363" s="4" t="s">
        <v>5683</v>
      </c>
      <c r="J363" s="2">
        <v>35268</v>
      </c>
      <c r="K363" s="1" t="s">
        <v>19</v>
      </c>
      <c r="L363" s="1" t="s">
        <v>20</v>
      </c>
      <c r="M363" s="1" t="s">
        <v>1820</v>
      </c>
      <c r="N363" s="1" t="s">
        <v>1821</v>
      </c>
      <c r="O363" s="1" t="s">
        <v>23</v>
      </c>
      <c r="P363" s="1" t="s">
        <v>1822</v>
      </c>
      <c r="Q363" s="1">
        <f>31-634460504</f>
        <v>-634460473</v>
      </c>
      <c r="R363" s="1">
        <v>2013</v>
      </c>
    </row>
    <row r="364" spans="1:19" ht="15" customHeight="1" x14ac:dyDescent="0.25">
      <c r="A364" s="4" t="s">
        <v>15</v>
      </c>
      <c r="B364" s="1">
        <v>4287673</v>
      </c>
      <c r="C364" s="35" t="s">
        <v>6108</v>
      </c>
      <c r="D364" s="29" t="s">
        <v>1823</v>
      </c>
      <c r="E364" s="1" t="s">
        <v>1824</v>
      </c>
      <c r="F364" s="1" t="s">
        <v>1825</v>
      </c>
      <c r="G364" s="4" t="s">
        <v>5599</v>
      </c>
      <c r="H364" s="4" t="s">
        <v>5717</v>
      </c>
      <c r="I364" s="4" t="s">
        <v>5683</v>
      </c>
      <c r="J364" s="2">
        <v>34546</v>
      </c>
      <c r="K364" s="1" t="s">
        <v>19</v>
      </c>
      <c r="L364" s="1" t="s">
        <v>20</v>
      </c>
      <c r="M364" s="1" t="s">
        <v>1826</v>
      </c>
      <c r="N364" s="1" t="s">
        <v>1827</v>
      </c>
      <c r="O364" s="1" t="s">
        <v>23</v>
      </c>
      <c r="P364" s="1" t="s">
        <v>1828</v>
      </c>
      <c r="Q364" s="1">
        <f>31-621146870</f>
        <v>-621146839</v>
      </c>
      <c r="R364" s="1">
        <v>2013</v>
      </c>
    </row>
    <row r="365" spans="1:19" ht="15" customHeight="1" x14ac:dyDescent="0.25">
      <c r="A365" s="4" t="s">
        <v>15</v>
      </c>
      <c r="B365" s="1">
        <v>4322924</v>
      </c>
      <c r="C365" s="35" t="s">
        <v>6109</v>
      </c>
      <c r="D365" s="29" t="s">
        <v>1829</v>
      </c>
      <c r="E365" s="1" t="s">
        <v>1830</v>
      </c>
      <c r="F365" s="1" t="s">
        <v>1079</v>
      </c>
      <c r="G365" s="4" t="s">
        <v>5599</v>
      </c>
      <c r="H365" s="4" t="s">
        <v>5717</v>
      </c>
      <c r="I365" s="4" t="s">
        <v>5683</v>
      </c>
      <c r="J365" s="2">
        <v>34678</v>
      </c>
      <c r="K365" s="1" t="s">
        <v>19</v>
      </c>
      <c r="L365" s="1" t="s">
        <v>20</v>
      </c>
      <c r="M365" s="1" t="s">
        <v>1831</v>
      </c>
      <c r="N365" s="1" t="s">
        <v>1832</v>
      </c>
      <c r="O365" s="1" t="s">
        <v>23</v>
      </c>
      <c r="P365" s="1" t="s">
        <v>1833</v>
      </c>
      <c r="Q365" s="1">
        <f>31-646151365</f>
        <v>-646151334</v>
      </c>
      <c r="R365" s="1">
        <v>2013</v>
      </c>
    </row>
    <row r="366" spans="1:19" ht="15" customHeight="1" x14ac:dyDescent="0.25">
      <c r="A366" s="4" t="s">
        <v>15</v>
      </c>
      <c r="B366" s="1">
        <v>4268296</v>
      </c>
      <c r="C366" s="35" t="s">
        <v>6110</v>
      </c>
      <c r="D366" s="29" t="s">
        <v>1834</v>
      </c>
      <c r="E366" s="1" t="s">
        <v>1835</v>
      </c>
      <c r="F366" s="1" t="s">
        <v>551</v>
      </c>
      <c r="G366" s="4" t="s">
        <v>5599</v>
      </c>
      <c r="H366" s="4" t="s">
        <v>5717</v>
      </c>
      <c r="I366" s="4" t="s">
        <v>5683</v>
      </c>
      <c r="J366" s="2">
        <v>34785</v>
      </c>
      <c r="K366" s="1" t="s">
        <v>19</v>
      </c>
      <c r="L366" s="1" t="s">
        <v>20</v>
      </c>
      <c r="M366" s="1" t="s">
        <v>1836</v>
      </c>
      <c r="N366" s="1" t="s">
        <v>1837</v>
      </c>
      <c r="O366" s="1" t="s">
        <v>23</v>
      </c>
      <c r="P366" s="1" t="s">
        <v>1838</v>
      </c>
      <c r="R366" s="1">
        <v>2013</v>
      </c>
    </row>
    <row r="367" spans="1:19" ht="15" customHeight="1" x14ac:dyDescent="0.25">
      <c r="A367" s="4" t="s">
        <v>15</v>
      </c>
      <c r="B367" s="1">
        <v>4300122</v>
      </c>
      <c r="C367" s="35" t="s">
        <v>6111</v>
      </c>
      <c r="D367" s="29" t="s">
        <v>1839</v>
      </c>
      <c r="E367" s="1" t="s">
        <v>1840</v>
      </c>
      <c r="F367" s="1" t="s">
        <v>1841</v>
      </c>
      <c r="G367" s="4" t="s">
        <v>5599</v>
      </c>
      <c r="H367" s="4" t="s">
        <v>5717</v>
      </c>
      <c r="I367" s="4" t="s">
        <v>5683</v>
      </c>
      <c r="J367" s="2">
        <v>34415</v>
      </c>
      <c r="K367" s="1" t="s">
        <v>19</v>
      </c>
      <c r="L367" s="1" t="s">
        <v>20</v>
      </c>
      <c r="M367" s="1" t="s">
        <v>1842</v>
      </c>
      <c r="N367" s="1" t="s">
        <v>1843</v>
      </c>
      <c r="O367" s="1" t="s">
        <v>23</v>
      </c>
      <c r="P367" s="1" t="s">
        <v>1844</v>
      </c>
      <c r="Q367" s="1">
        <f>31-610680022</f>
        <v>-610679991</v>
      </c>
      <c r="R367" s="1">
        <v>2013</v>
      </c>
    </row>
    <row r="368" spans="1:19" ht="15" customHeight="1" x14ac:dyDescent="0.25">
      <c r="A368" s="4" t="s">
        <v>15</v>
      </c>
      <c r="B368" s="1">
        <v>4326377</v>
      </c>
      <c r="C368" s="35" t="s">
        <v>6112</v>
      </c>
      <c r="D368" s="29" t="s">
        <v>1845</v>
      </c>
      <c r="E368" s="1" t="s">
        <v>1846</v>
      </c>
      <c r="F368" s="1" t="s">
        <v>1495</v>
      </c>
      <c r="G368" s="4" t="s">
        <v>5599</v>
      </c>
      <c r="H368" s="4" t="s">
        <v>5717</v>
      </c>
      <c r="I368" s="4" t="s">
        <v>5683</v>
      </c>
      <c r="J368" s="2">
        <v>34343</v>
      </c>
      <c r="K368" s="1" t="s">
        <v>19</v>
      </c>
      <c r="L368" s="1" t="s">
        <v>20</v>
      </c>
      <c r="M368" s="1" t="s">
        <v>1847</v>
      </c>
      <c r="N368" s="1" t="s">
        <v>1848</v>
      </c>
      <c r="O368" s="1" t="s">
        <v>23</v>
      </c>
      <c r="P368" s="1" t="s">
        <v>1849</v>
      </c>
      <c r="Q368" s="1">
        <f>31-681894806</f>
        <v>-681894775</v>
      </c>
      <c r="R368" s="1">
        <v>2013</v>
      </c>
    </row>
    <row r="369" spans="1:20" ht="15" customHeight="1" x14ac:dyDescent="0.25">
      <c r="A369" s="4" t="s">
        <v>15</v>
      </c>
      <c r="B369" s="1">
        <v>4309960</v>
      </c>
      <c r="C369" s="35" t="s">
        <v>6113</v>
      </c>
      <c r="D369" s="29" t="s">
        <v>1850</v>
      </c>
      <c r="E369" s="1" t="s">
        <v>1851</v>
      </c>
      <c r="F369" s="1" t="s">
        <v>209</v>
      </c>
      <c r="G369" s="4" t="s">
        <v>5599</v>
      </c>
      <c r="H369" s="4" t="s">
        <v>5717</v>
      </c>
      <c r="I369" s="4" t="s">
        <v>5683</v>
      </c>
      <c r="J369" s="2">
        <v>34659</v>
      </c>
      <c r="K369" s="1" t="s">
        <v>19</v>
      </c>
      <c r="L369" s="1" t="s">
        <v>20</v>
      </c>
      <c r="M369" s="1" t="s">
        <v>1852</v>
      </c>
      <c r="N369" s="1" t="s">
        <v>1853</v>
      </c>
      <c r="O369" s="1" t="s">
        <v>23</v>
      </c>
      <c r="P369" s="1" t="s">
        <v>1854</v>
      </c>
      <c r="Q369" s="1">
        <f>31-618350999</f>
        <v>-618350968</v>
      </c>
      <c r="R369" s="1">
        <v>2013</v>
      </c>
    </row>
    <row r="370" spans="1:20" ht="15" customHeight="1" x14ac:dyDescent="0.25">
      <c r="A370" s="4" t="s">
        <v>15</v>
      </c>
      <c r="B370" s="1">
        <v>4303032</v>
      </c>
      <c r="C370" s="35" t="s">
        <v>6114</v>
      </c>
      <c r="D370" s="29" t="s">
        <v>1855</v>
      </c>
      <c r="E370" s="1" t="s">
        <v>1856</v>
      </c>
      <c r="F370" s="1" t="s">
        <v>1857</v>
      </c>
      <c r="G370" s="4" t="s">
        <v>5600</v>
      </c>
      <c r="H370" s="4" t="s">
        <v>5717</v>
      </c>
      <c r="I370" s="4" t="s">
        <v>5683</v>
      </c>
      <c r="J370" s="2">
        <v>34610</v>
      </c>
      <c r="K370" s="1" t="s">
        <v>19</v>
      </c>
      <c r="L370" s="1" t="s">
        <v>20</v>
      </c>
      <c r="M370" s="1" t="s">
        <v>1858</v>
      </c>
      <c r="N370" s="1" t="s">
        <v>1859</v>
      </c>
      <c r="O370" s="1" t="s">
        <v>23</v>
      </c>
      <c r="P370" s="1" t="s">
        <v>1860</v>
      </c>
      <c r="Q370" s="1">
        <f>31-615518609</f>
        <v>-615518578</v>
      </c>
      <c r="R370" s="1">
        <v>2013</v>
      </c>
    </row>
    <row r="371" spans="1:20" ht="15" customHeight="1" x14ac:dyDescent="0.25">
      <c r="A371" s="4" t="s">
        <v>15</v>
      </c>
      <c r="B371" s="1">
        <v>4207378</v>
      </c>
      <c r="C371" s="35" t="s">
        <v>6115</v>
      </c>
      <c r="D371" s="29" t="s">
        <v>1861</v>
      </c>
      <c r="E371" s="1" t="s">
        <v>1862</v>
      </c>
      <c r="F371" s="1" t="s">
        <v>998</v>
      </c>
      <c r="G371" s="4" t="s">
        <v>5600</v>
      </c>
      <c r="H371" s="4" t="s">
        <v>5717</v>
      </c>
      <c r="I371" s="4" t="s">
        <v>5683</v>
      </c>
      <c r="J371" s="2">
        <v>34324</v>
      </c>
      <c r="K371" s="1" t="s">
        <v>19</v>
      </c>
      <c r="L371" s="1" t="s">
        <v>20</v>
      </c>
      <c r="M371" s="1" t="s">
        <v>1863</v>
      </c>
      <c r="N371" s="1" t="s">
        <v>1864</v>
      </c>
      <c r="O371" s="1" t="s">
        <v>23</v>
      </c>
      <c r="P371" s="1" t="s">
        <v>1865</v>
      </c>
      <c r="Q371" s="1">
        <f>31-611718360</f>
        <v>-611718329</v>
      </c>
      <c r="R371" s="1">
        <v>2012</v>
      </c>
      <c r="S371" s="1" t="s">
        <v>88</v>
      </c>
    </row>
    <row r="372" spans="1:20" ht="15" customHeight="1" x14ac:dyDescent="0.25">
      <c r="A372" s="4" t="s">
        <v>15</v>
      </c>
      <c r="B372" s="1">
        <v>4279646</v>
      </c>
      <c r="C372" s="35" t="s">
        <v>6116</v>
      </c>
      <c r="D372" s="29" t="s">
        <v>1367</v>
      </c>
      <c r="E372" s="1" t="s">
        <v>1866</v>
      </c>
      <c r="F372" s="1" t="s">
        <v>591</v>
      </c>
      <c r="G372" s="4" t="s">
        <v>5600</v>
      </c>
      <c r="H372" s="4" t="s">
        <v>5717</v>
      </c>
      <c r="I372" s="4" t="s">
        <v>5683</v>
      </c>
      <c r="J372" s="2">
        <v>34491</v>
      </c>
      <c r="K372" s="1" t="s">
        <v>19</v>
      </c>
      <c r="L372" s="1" t="s">
        <v>20</v>
      </c>
      <c r="M372" s="1" t="s">
        <v>1867</v>
      </c>
      <c r="N372" s="1" t="s">
        <v>1868</v>
      </c>
      <c r="O372" s="1" t="s">
        <v>23</v>
      </c>
      <c r="P372" s="1" t="s">
        <v>1869</v>
      </c>
      <c r="Q372" s="1">
        <f>31-620677151</f>
        <v>-620677120</v>
      </c>
      <c r="R372" s="1">
        <v>2013</v>
      </c>
    </row>
    <row r="373" spans="1:20" ht="15" customHeight="1" x14ac:dyDescent="0.25">
      <c r="A373" s="4" t="s">
        <v>15</v>
      </c>
      <c r="B373" s="1">
        <v>4281004</v>
      </c>
      <c r="C373" s="35" t="s">
        <v>6117</v>
      </c>
      <c r="D373" s="29" t="s">
        <v>475</v>
      </c>
      <c r="E373" s="1" t="s">
        <v>1870</v>
      </c>
      <c r="F373" s="1" t="s">
        <v>130</v>
      </c>
      <c r="G373" s="4" t="s">
        <v>5600</v>
      </c>
      <c r="H373" s="4" t="s">
        <v>5717</v>
      </c>
      <c r="I373" s="4" t="s">
        <v>5683</v>
      </c>
      <c r="J373" s="2">
        <v>34822</v>
      </c>
      <c r="K373" s="1" t="s">
        <v>19</v>
      </c>
      <c r="L373" s="1" t="s">
        <v>20</v>
      </c>
      <c r="M373" s="1" t="s">
        <v>1871</v>
      </c>
      <c r="N373" s="1" t="s">
        <v>1872</v>
      </c>
      <c r="O373" s="1" t="s">
        <v>23</v>
      </c>
      <c r="P373" s="1" t="s">
        <v>1873</v>
      </c>
      <c r="Q373" s="1">
        <f>31-627614914</f>
        <v>-627614883</v>
      </c>
      <c r="R373" s="1">
        <v>2013</v>
      </c>
    </row>
    <row r="374" spans="1:20" ht="15" customHeight="1" x14ac:dyDescent="0.25">
      <c r="A374" s="4" t="s">
        <v>15</v>
      </c>
      <c r="B374" s="1">
        <v>4330013</v>
      </c>
      <c r="C374" s="35" t="s">
        <v>6118</v>
      </c>
      <c r="D374" s="29" t="s">
        <v>1874</v>
      </c>
      <c r="E374" s="1" t="s">
        <v>1875</v>
      </c>
      <c r="F374" s="1" t="s">
        <v>348</v>
      </c>
      <c r="G374" s="4" t="s">
        <v>5600</v>
      </c>
      <c r="H374" s="4" t="s">
        <v>5717</v>
      </c>
      <c r="I374" s="4" t="s">
        <v>5683</v>
      </c>
      <c r="J374" s="2">
        <v>34432</v>
      </c>
      <c r="K374" s="1" t="s">
        <v>19</v>
      </c>
      <c r="L374" s="1" t="s">
        <v>20</v>
      </c>
      <c r="M374" s="1" t="s">
        <v>1876</v>
      </c>
      <c r="N374" s="1" t="s">
        <v>1877</v>
      </c>
      <c r="O374" s="1" t="s">
        <v>23</v>
      </c>
      <c r="P374" s="1" t="s">
        <v>1878</v>
      </c>
      <c r="Q374" s="1">
        <f>31-651087794</f>
        <v>-651087763</v>
      </c>
      <c r="R374" s="1">
        <v>2013</v>
      </c>
    </row>
    <row r="375" spans="1:20" ht="15" customHeight="1" x14ac:dyDescent="0.25">
      <c r="A375" s="4" t="s">
        <v>15</v>
      </c>
      <c r="B375" s="1">
        <v>4176413</v>
      </c>
      <c r="C375" s="35" t="s">
        <v>6119</v>
      </c>
      <c r="D375" s="29" t="s">
        <v>1890</v>
      </c>
      <c r="E375" s="1" t="s">
        <v>1891</v>
      </c>
      <c r="F375" s="1" t="s">
        <v>1892</v>
      </c>
      <c r="G375" s="4" t="s">
        <v>5600</v>
      </c>
      <c r="H375" s="4" t="s">
        <v>5717</v>
      </c>
      <c r="I375" s="4" t="s">
        <v>5683</v>
      </c>
      <c r="J375" s="2">
        <v>33988</v>
      </c>
      <c r="K375" s="1" t="s">
        <v>19</v>
      </c>
      <c r="L375" s="1" t="s">
        <v>20</v>
      </c>
      <c r="P375" s="1" t="s">
        <v>1893</v>
      </c>
      <c r="Q375" s="1">
        <v>-624435011</v>
      </c>
      <c r="R375" s="1">
        <v>2013</v>
      </c>
      <c r="T375" s="1" t="s">
        <v>5217</v>
      </c>
    </row>
    <row r="376" spans="1:20" ht="15" customHeight="1" x14ac:dyDescent="0.25">
      <c r="A376" s="4" t="s">
        <v>15</v>
      </c>
      <c r="B376" s="1">
        <v>4294041</v>
      </c>
      <c r="C376" s="35" t="s">
        <v>6120</v>
      </c>
      <c r="D376" s="29" t="s">
        <v>1879</v>
      </c>
      <c r="E376" s="1" t="s">
        <v>1880</v>
      </c>
      <c r="F376" s="1" t="s">
        <v>678</v>
      </c>
      <c r="G376" s="4" t="s">
        <v>5600</v>
      </c>
      <c r="H376" s="4" t="s">
        <v>5717</v>
      </c>
      <c r="I376" s="4" t="s">
        <v>5683</v>
      </c>
      <c r="J376" s="2">
        <v>34568</v>
      </c>
      <c r="K376" s="1" t="s">
        <v>19</v>
      </c>
      <c r="L376" s="1" t="s">
        <v>20</v>
      </c>
      <c r="M376" s="1" t="s">
        <v>1881</v>
      </c>
      <c r="N376" s="1" t="s">
        <v>1882</v>
      </c>
      <c r="O376" s="1" t="s">
        <v>23</v>
      </c>
      <c r="P376" s="1" t="s">
        <v>1883</v>
      </c>
      <c r="Q376" s="1">
        <f>31-624921398</f>
        <v>-624921367</v>
      </c>
      <c r="R376" s="1">
        <v>2013</v>
      </c>
    </row>
    <row r="377" spans="1:20" ht="15" customHeight="1" x14ac:dyDescent="0.25">
      <c r="A377" s="4" t="s">
        <v>15</v>
      </c>
      <c r="B377" s="1">
        <v>4278798</v>
      </c>
      <c r="C377" s="35" t="s">
        <v>6121</v>
      </c>
      <c r="D377" s="29" t="s">
        <v>1884</v>
      </c>
      <c r="E377" s="1" t="s">
        <v>1885</v>
      </c>
      <c r="F377" s="1" t="s">
        <v>1886</v>
      </c>
      <c r="G377" s="4" t="s">
        <v>5600</v>
      </c>
      <c r="H377" s="4" t="s">
        <v>5717</v>
      </c>
      <c r="I377" s="4" t="s">
        <v>5683</v>
      </c>
      <c r="J377" s="2">
        <v>34930</v>
      </c>
      <c r="K377" s="1" t="s">
        <v>19</v>
      </c>
      <c r="L377" s="1" t="s">
        <v>20</v>
      </c>
      <c r="M377" s="1" t="s">
        <v>1887</v>
      </c>
      <c r="N377" s="1" t="s">
        <v>1888</v>
      </c>
      <c r="O377" s="1" t="s">
        <v>23</v>
      </c>
      <c r="P377" s="1" t="s">
        <v>1889</v>
      </c>
      <c r="Q377" s="1">
        <f>31-650464554</f>
        <v>-650464523</v>
      </c>
      <c r="R377" s="1">
        <v>2013</v>
      </c>
    </row>
    <row r="378" spans="1:20" ht="15" customHeight="1" x14ac:dyDescent="0.25">
      <c r="A378" s="4" t="s">
        <v>15</v>
      </c>
      <c r="B378" s="1">
        <v>4317335</v>
      </c>
      <c r="C378" s="35" t="s">
        <v>6122</v>
      </c>
      <c r="D378" s="29" t="s">
        <v>1894</v>
      </c>
      <c r="E378" s="1" t="s">
        <v>1895</v>
      </c>
      <c r="F378" s="1" t="s">
        <v>528</v>
      </c>
      <c r="G378" s="4" t="s">
        <v>5601</v>
      </c>
      <c r="H378" s="4" t="s">
        <v>5718</v>
      </c>
      <c r="I378" s="4" t="s">
        <v>5684</v>
      </c>
      <c r="J378" s="2">
        <v>34251</v>
      </c>
      <c r="K378" s="1" t="s">
        <v>19</v>
      </c>
      <c r="L378" s="1" t="s">
        <v>20</v>
      </c>
      <c r="M378" s="1" t="s">
        <v>1896</v>
      </c>
      <c r="N378" s="1" t="s">
        <v>1897</v>
      </c>
      <c r="O378" s="1" t="s">
        <v>23</v>
      </c>
      <c r="P378" s="1" t="s">
        <v>1898</v>
      </c>
      <c r="R378" s="1">
        <v>2013</v>
      </c>
    </row>
    <row r="379" spans="1:20" ht="15" customHeight="1" x14ac:dyDescent="0.25">
      <c r="A379" s="4" t="s">
        <v>15</v>
      </c>
      <c r="B379" s="1">
        <v>4294009</v>
      </c>
      <c r="C379" s="35" t="s">
        <v>6123</v>
      </c>
      <c r="D379" s="29" t="s">
        <v>1899</v>
      </c>
      <c r="E379" s="1" t="s">
        <v>1900</v>
      </c>
      <c r="F379" s="1" t="s">
        <v>1901</v>
      </c>
      <c r="G379" s="4" t="s">
        <v>5601</v>
      </c>
      <c r="H379" s="4" t="s">
        <v>5718</v>
      </c>
      <c r="I379" s="4" t="s">
        <v>5684</v>
      </c>
      <c r="J379" s="2">
        <v>34635</v>
      </c>
      <c r="K379" s="1" t="s">
        <v>19</v>
      </c>
      <c r="L379" s="1" t="s">
        <v>20</v>
      </c>
      <c r="M379" s="1" t="s">
        <v>1902</v>
      </c>
      <c r="N379" s="1" t="s">
        <v>1903</v>
      </c>
      <c r="O379" s="1" t="s">
        <v>23</v>
      </c>
      <c r="P379" s="1" t="s">
        <v>1904</v>
      </c>
      <c r="Q379" s="1">
        <f>31-613209115</f>
        <v>-613209084</v>
      </c>
      <c r="R379" s="1">
        <v>2013</v>
      </c>
    </row>
    <row r="380" spans="1:20" ht="15" customHeight="1" x14ac:dyDescent="0.25">
      <c r="A380" s="4" t="s">
        <v>15</v>
      </c>
      <c r="B380" s="1">
        <v>4273281</v>
      </c>
      <c r="C380" s="35" t="s">
        <v>6124</v>
      </c>
      <c r="D380" s="29" t="s">
        <v>26</v>
      </c>
      <c r="E380" s="1" t="s">
        <v>1905</v>
      </c>
      <c r="F380" s="1" t="s">
        <v>690</v>
      </c>
      <c r="G380" s="4" t="s">
        <v>5601</v>
      </c>
      <c r="H380" s="4" t="s">
        <v>5718</v>
      </c>
      <c r="I380" s="4" t="s">
        <v>5684</v>
      </c>
      <c r="J380" s="2">
        <v>34844</v>
      </c>
      <c r="K380" s="1" t="s">
        <v>19</v>
      </c>
      <c r="L380" s="1" t="s">
        <v>20</v>
      </c>
      <c r="M380" s="1" t="s">
        <v>1906</v>
      </c>
      <c r="N380" s="1" t="s">
        <v>1907</v>
      </c>
      <c r="O380" s="1" t="s">
        <v>23</v>
      </c>
      <c r="P380" s="1" t="s">
        <v>1908</v>
      </c>
      <c r="Q380" s="1">
        <f>31-620869493</f>
        <v>-620869462</v>
      </c>
      <c r="R380" s="1">
        <v>2013</v>
      </c>
    </row>
    <row r="381" spans="1:20" ht="15" customHeight="1" x14ac:dyDescent="0.25">
      <c r="A381" s="4" t="s">
        <v>15</v>
      </c>
      <c r="B381" s="1">
        <v>4295587</v>
      </c>
      <c r="C381" s="35" t="s">
        <v>6125</v>
      </c>
      <c r="D381" s="29" t="s">
        <v>1909</v>
      </c>
      <c r="E381" s="1" t="s">
        <v>1910</v>
      </c>
      <c r="F381" s="1" t="s">
        <v>384</v>
      </c>
      <c r="G381" s="4" t="s">
        <v>5601</v>
      </c>
      <c r="H381" s="4" t="s">
        <v>5718</v>
      </c>
      <c r="I381" s="4" t="s">
        <v>5684</v>
      </c>
      <c r="J381" s="2">
        <v>34575</v>
      </c>
      <c r="K381" s="1" t="s">
        <v>19</v>
      </c>
      <c r="L381" s="1" t="s">
        <v>20</v>
      </c>
      <c r="M381" s="1" t="s">
        <v>1911</v>
      </c>
      <c r="N381" s="1" t="s">
        <v>1912</v>
      </c>
      <c r="O381" s="1" t="s">
        <v>23</v>
      </c>
      <c r="P381" s="1" t="s">
        <v>1913</v>
      </c>
      <c r="Q381" s="1">
        <f>31-623196453</f>
        <v>-623196422</v>
      </c>
      <c r="R381" s="1">
        <v>2013</v>
      </c>
    </row>
    <row r="382" spans="1:20" ht="15" customHeight="1" x14ac:dyDescent="0.25">
      <c r="A382" s="4" t="s">
        <v>15</v>
      </c>
      <c r="B382" s="1">
        <v>4288025</v>
      </c>
      <c r="C382" s="35" t="s">
        <v>6126</v>
      </c>
      <c r="D382" s="29" t="s">
        <v>1914</v>
      </c>
      <c r="E382" s="1" t="s">
        <v>1915</v>
      </c>
      <c r="F382" s="1" t="s">
        <v>384</v>
      </c>
      <c r="G382" s="4" t="s">
        <v>5601</v>
      </c>
      <c r="H382" s="4" t="s">
        <v>5718</v>
      </c>
      <c r="I382" s="4" t="s">
        <v>5684</v>
      </c>
      <c r="J382" s="2">
        <v>34783</v>
      </c>
      <c r="K382" s="1" t="s">
        <v>19</v>
      </c>
      <c r="L382" s="1" t="s">
        <v>20</v>
      </c>
      <c r="M382" s="1" t="s">
        <v>1916</v>
      </c>
      <c r="N382" s="1" t="s">
        <v>1917</v>
      </c>
      <c r="O382" s="1" t="s">
        <v>23</v>
      </c>
      <c r="P382" s="1" t="s">
        <v>1918</v>
      </c>
      <c r="Q382" s="1">
        <f>31-640320179</f>
        <v>-640320148</v>
      </c>
      <c r="R382" s="1">
        <v>2013</v>
      </c>
    </row>
    <row r="383" spans="1:20" ht="15" customHeight="1" x14ac:dyDescent="0.25">
      <c r="A383" s="4" t="s">
        <v>15</v>
      </c>
      <c r="B383" s="1">
        <v>4336194</v>
      </c>
      <c r="C383" s="35" t="s">
        <v>6127</v>
      </c>
      <c r="D383" s="29" t="s">
        <v>1919</v>
      </c>
      <c r="E383" s="1" t="s">
        <v>1920</v>
      </c>
      <c r="F383" s="1" t="s">
        <v>1921</v>
      </c>
      <c r="G383" s="4" t="s">
        <v>5601</v>
      </c>
      <c r="H383" s="4" t="s">
        <v>5718</v>
      </c>
      <c r="I383" s="4" t="s">
        <v>5684</v>
      </c>
      <c r="J383" s="2">
        <v>31957</v>
      </c>
      <c r="K383" s="1" t="s">
        <v>19</v>
      </c>
      <c r="L383" s="1" t="s">
        <v>20</v>
      </c>
      <c r="M383" s="1" t="s">
        <v>1922</v>
      </c>
      <c r="N383" s="1" t="s">
        <v>1923</v>
      </c>
      <c r="O383" s="1" t="s">
        <v>23</v>
      </c>
      <c r="P383" s="1" t="s">
        <v>1924</v>
      </c>
      <c r="Q383" s="1">
        <f>31-631391368</f>
        <v>-631391337</v>
      </c>
      <c r="R383" s="1">
        <v>2013</v>
      </c>
    </row>
    <row r="384" spans="1:20" ht="15" customHeight="1" x14ac:dyDescent="0.25">
      <c r="A384" s="4" t="s">
        <v>15</v>
      </c>
      <c r="B384" s="1">
        <v>4302923</v>
      </c>
      <c r="C384" s="35" t="s">
        <v>6128</v>
      </c>
      <c r="D384" s="29" t="s">
        <v>1925</v>
      </c>
      <c r="E384" s="1" t="s">
        <v>1926</v>
      </c>
      <c r="F384" s="1" t="s">
        <v>1927</v>
      </c>
      <c r="G384" s="4" t="s">
        <v>5601</v>
      </c>
      <c r="H384" s="4" t="s">
        <v>5718</v>
      </c>
      <c r="I384" s="4" t="s">
        <v>5684</v>
      </c>
      <c r="J384" s="2">
        <v>34200</v>
      </c>
      <c r="K384" s="1" t="s">
        <v>19</v>
      </c>
      <c r="L384" s="1" t="s">
        <v>20</v>
      </c>
      <c r="M384" s="1" t="s">
        <v>1928</v>
      </c>
      <c r="N384" s="1" t="s">
        <v>1929</v>
      </c>
      <c r="O384" s="1" t="s">
        <v>23</v>
      </c>
      <c r="P384" s="1" t="s">
        <v>1930</v>
      </c>
      <c r="Q384" s="1">
        <f>31-658933386</f>
        <v>-658933355</v>
      </c>
      <c r="R384" s="1">
        <v>2013</v>
      </c>
    </row>
    <row r="385" spans="1:19" ht="15" customHeight="1" x14ac:dyDescent="0.25">
      <c r="A385" s="4" t="s">
        <v>15</v>
      </c>
      <c r="B385" s="1">
        <v>4281950</v>
      </c>
      <c r="C385" s="35" t="s">
        <v>6129</v>
      </c>
      <c r="D385" s="29" t="s">
        <v>1931</v>
      </c>
      <c r="E385" s="1" t="s">
        <v>1932</v>
      </c>
      <c r="F385" s="1" t="s">
        <v>928</v>
      </c>
      <c r="G385" s="4" t="s">
        <v>5601</v>
      </c>
      <c r="H385" s="4" t="s">
        <v>5718</v>
      </c>
      <c r="I385" s="4" t="s">
        <v>5684</v>
      </c>
      <c r="J385" s="2">
        <v>33651</v>
      </c>
      <c r="K385" s="1" t="s">
        <v>19</v>
      </c>
      <c r="L385" s="1" t="s">
        <v>20</v>
      </c>
      <c r="M385" s="1" t="s">
        <v>1933</v>
      </c>
      <c r="N385" s="1" t="s">
        <v>1934</v>
      </c>
      <c r="O385" s="1" t="s">
        <v>23</v>
      </c>
      <c r="P385" s="1" t="s">
        <v>1935</v>
      </c>
      <c r="Q385" s="1">
        <f>31-653448475</f>
        <v>-653448444</v>
      </c>
      <c r="R385" s="1">
        <v>2013</v>
      </c>
    </row>
    <row r="386" spans="1:19" ht="15" customHeight="1" x14ac:dyDescent="0.25">
      <c r="A386" s="4" t="s">
        <v>15</v>
      </c>
      <c r="B386" s="1">
        <v>4301757</v>
      </c>
      <c r="C386" s="35" t="s">
        <v>6130</v>
      </c>
      <c r="D386" s="29" t="s">
        <v>1936</v>
      </c>
      <c r="E386" s="1" t="s">
        <v>1937</v>
      </c>
      <c r="F386" s="1" t="s">
        <v>494</v>
      </c>
      <c r="G386" s="4" t="s">
        <v>5602</v>
      </c>
      <c r="H386" s="4" t="s">
        <v>5718</v>
      </c>
      <c r="I386" s="4" t="s">
        <v>5684</v>
      </c>
      <c r="J386" s="2">
        <v>34863</v>
      </c>
      <c r="K386" s="1" t="s">
        <v>19</v>
      </c>
      <c r="L386" s="1" t="s">
        <v>20</v>
      </c>
      <c r="M386" s="1" t="s">
        <v>1938</v>
      </c>
      <c r="N386" s="1" t="s">
        <v>1939</v>
      </c>
      <c r="O386" s="1" t="s">
        <v>23</v>
      </c>
      <c r="P386" s="1" t="s">
        <v>1940</v>
      </c>
      <c r="Q386" s="1">
        <f>31-634278228</f>
        <v>-634278197</v>
      </c>
      <c r="R386" s="1">
        <v>2013</v>
      </c>
    </row>
    <row r="387" spans="1:19" ht="15" customHeight="1" x14ac:dyDescent="0.25">
      <c r="A387" s="4" t="s">
        <v>15</v>
      </c>
      <c r="B387" s="1">
        <v>4286758</v>
      </c>
      <c r="C387" s="35" t="s">
        <v>6131</v>
      </c>
      <c r="D387" s="29" t="s">
        <v>1367</v>
      </c>
      <c r="E387" s="1" t="s">
        <v>1941</v>
      </c>
      <c r="F387" s="1" t="s">
        <v>1942</v>
      </c>
      <c r="G387" s="4" t="s">
        <v>5602</v>
      </c>
      <c r="H387" s="4" t="s">
        <v>5718</v>
      </c>
      <c r="I387" s="4" t="s">
        <v>5684</v>
      </c>
      <c r="J387" s="2">
        <v>34674</v>
      </c>
      <c r="K387" s="1" t="s">
        <v>19</v>
      </c>
      <c r="L387" s="1" t="s">
        <v>20</v>
      </c>
      <c r="M387" s="1" t="s">
        <v>1943</v>
      </c>
      <c r="N387" s="1" t="s">
        <v>1944</v>
      </c>
      <c r="O387" s="1" t="s">
        <v>23</v>
      </c>
      <c r="P387" s="1" t="s">
        <v>1945</v>
      </c>
      <c r="Q387" s="1">
        <f>31-654690192</f>
        <v>-654690161</v>
      </c>
      <c r="R387" s="1">
        <v>2013</v>
      </c>
    </row>
    <row r="388" spans="1:19" ht="15" customHeight="1" x14ac:dyDescent="0.25">
      <c r="A388" s="4" t="s">
        <v>15</v>
      </c>
      <c r="B388" s="1">
        <v>4301706</v>
      </c>
      <c r="C388" s="35" t="s">
        <v>6132</v>
      </c>
      <c r="D388" s="29" t="s">
        <v>1946</v>
      </c>
      <c r="E388" s="1" t="s">
        <v>1947</v>
      </c>
      <c r="F388" s="1" t="s">
        <v>1495</v>
      </c>
      <c r="G388" s="4" t="s">
        <v>5602</v>
      </c>
      <c r="H388" s="4" t="s">
        <v>5718</v>
      </c>
      <c r="I388" s="4" t="s">
        <v>5684</v>
      </c>
      <c r="J388" s="2">
        <v>34792</v>
      </c>
      <c r="K388" s="1" t="s">
        <v>19</v>
      </c>
      <c r="L388" s="1" t="s">
        <v>20</v>
      </c>
      <c r="M388" s="1" t="s">
        <v>1948</v>
      </c>
      <c r="N388" s="1" t="s">
        <v>1949</v>
      </c>
      <c r="O388" s="1" t="s">
        <v>23</v>
      </c>
      <c r="P388" s="1" t="s">
        <v>1950</v>
      </c>
      <c r="Q388" s="1">
        <f>31-648565683</f>
        <v>-648565652</v>
      </c>
      <c r="R388" s="1">
        <v>2013</v>
      </c>
    </row>
    <row r="389" spans="1:19" ht="15" customHeight="1" x14ac:dyDescent="0.25">
      <c r="A389" s="4" t="s">
        <v>15</v>
      </c>
      <c r="B389" s="1">
        <v>4322193</v>
      </c>
      <c r="C389" s="35" t="s">
        <v>6133</v>
      </c>
      <c r="D389" s="29" t="s">
        <v>991</v>
      </c>
      <c r="E389" s="1" t="s">
        <v>1951</v>
      </c>
      <c r="F389" s="1" t="s">
        <v>1952</v>
      </c>
      <c r="G389" s="4" t="s">
        <v>5602</v>
      </c>
      <c r="H389" s="4" t="s">
        <v>5718</v>
      </c>
      <c r="I389" s="4" t="s">
        <v>5684</v>
      </c>
      <c r="J389" s="2">
        <v>34213</v>
      </c>
      <c r="K389" s="1" t="s">
        <v>19</v>
      </c>
      <c r="L389" s="1" t="s">
        <v>20</v>
      </c>
      <c r="M389" s="1" t="s">
        <v>1953</v>
      </c>
      <c r="N389" s="1" t="s">
        <v>1954</v>
      </c>
      <c r="O389" s="1" t="s">
        <v>23</v>
      </c>
      <c r="P389" s="1" t="s">
        <v>1955</v>
      </c>
      <c r="Q389" s="1">
        <f>31-623772461</f>
        <v>-623772430</v>
      </c>
      <c r="R389" s="1">
        <v>2013</v>
      </c>
    </row>
    <row r="390" spans="1:19" ht="15" customHeight="1" x14ac:dyDescent="0.25">
      <c r="A390" s="4" t="s">
        <v>15</v>
      </c>
      <c r="B390" s="1">
        <v>4169778</v>
      </c>
      <c r="C390" s="35" t="s">
        <v>6134</v>
      </c>
      <c r="D390" s="29" t="s">
        <v>1956</v>
      </c>
      <c r="E390" s="1" t="s">
        <v>1957</v>
      </c>
      <c r="F390" s="1" t="s">
        <v>1958</v>
      </c>
      <c r="G390" s="4" t="s">
        <v>5602</v>
      </c>
      <c r="H390" s="4" t="s">
        <v>5718</v>
      </c>
      <c r="I390" s="4" t="s">
        <v>5684</v>
      </c>
      <c r="J390" s="2">
        <v>34147</v>
      </c>
      <c r="K390" s="1" t="s">
        <v>19</v>
      </c>
      <c r="L390" s="1" t="s">
        <v>20</v>
      </c>
      <c r="M390" s="1" t="s">
        <v>1959</v>
      </c>
      <c r="N390" s="1" t="s">
        <v>1960</v>
      </c>
      <c r="O390" s="1" t="s">
        <v>23</v>
      </c>
      <c r="P390" s="1" t="s">
        <v>1961</v>
      </c>
      <c r="Q390" s="1">
        <f>31-628250783</f>
        <v>-628250752</v>
      </c>
      <c r="R390" s="1">
        <v>2012</v>
      </c>
      <c r="S390" s="1" t="s">
        <v>5227</v>
      </c>
    </row>
    <row r="391" spans="1:19" ht="15" customHeight="1" x14ac:dyDescent="0.25">
      <c r="A391" s="4" t="s">
        <v>15</v>
      </c>
      <c r="B391" s="1">
        <v>4302583</v>
      </c>
      <c r="C391" s="35" t="s">
        <v>6135</v>
      </c>
      <c r="D391" s="29" t="s">
        <v>246</v>
      </c>
      <c r="E391" s="1" t="s">
        <v>4407</v>
      </c>
      <c r="F391" s="1" t="s">
        <v>3060</v>
      </c>
      <c r="G391" s="4" t="s">
        <v>5602</v>
      </c>
      <c r="H391" s="4" t="s">
        <v>5718</v>
      </c>
      <c r="I391" s="4" t="s">
        <v>5684</v>
      </c>
      <c r="J391" s="2">
        <v>34726</v>
      </c>
      <c r="K391" s="1" t="s">
        <v>19</v>
      </c>
      <c r="L391" s="1" t="s">
        <v>20</v>
      </c>
      <c r="M391" s="1" t="s">
        <v>4408</v>
      </c>
      <c r="N391" s="1" t="s">
        <v>4409</v>
      </c>
      <c r="O391" s="1" t="s">
        <v>23</v>
      </c>
      <c r="P391" s="1" t="s">
        <v>4410</v>
      </c>
      <c r="Q391" s="1">
        <f>31-630984115</f>
        <v>-630984084</v>
      </c>
      <c r="R391" s="1">
        <v>2013</v>
      </c>
    </row>
    <row r="392" spans="1:19" ht="15" customHeight="1" x14ac:dyDescent="0.25">
      <c r="A392" s="4" t="s">
        <v>15</v>
      </c>
      <c r="B392" s="1">
        <v>4316878</v>
      </c>
      <c r="C392" s="35" t="s">
        <v>6136</v>
      </c>
      <c r="D392" s="29" t="s">
        <v>1962</v>
      </c>
      <c r="E392" s="1" t="s">
        <v>1963</v>
      </c>
      <c r="F392" s="1" t="s">
        <v>218</v>
      </c>
      <c r="G392" s="4" t="s">
        <v>5602</v>
      </c>
      <c r="H392" s="4" t="s">
        <v>5718</v>
      </c>
      <c r="I392" s="4" t="s">
        <v>5684</v>
      </c>
      <c r="J392" s="2">
        <v>35225</v>
      </c>
      <c r="K392" s="1" t="s">
        <v>19</v>
      </c>
      <c r="L392" s="1" t="s">
        <v>20</v>
      </c>
      <c r="M392" s="1" t="s">
        <v>1964</v>
      </c>
      <c r="N392" s="1" t="s">
        <v>1965</v>
      </c>
      <c r="O392" s="1" t="s">
        <v>23</v>
      </c>
      <c r="P392" s="1" t="s">
        <v>1966</v>
      </c>
      <c r="Q392" s="1">
        <f>31-613309064</f>
        <v>-613309033</v>
      </c>
      <c r="R392" s="1">
        <v>2013</v>
      </c>
    </row>
    <row r="393" spans="1:19" ht="15" customHeight="1" x14ac:dyDescent="0.25">
      <c r="A393" s="4" t="s">
        <v>15</v>
      </c>
      <c r="B393" s="1">
        <v>4319605</v>
      </c>
      <c r="C393" s="35" t="s">
        <v>6137</v>
      </c>
      <c r="D393" s="29" t="s">
        <v>1967</v>
      </c>
      <c r="E393" s="1" t="s">
        <v>1968</v>
      </c>
      <c r="F393" s="1" t="s">
        <v>1969</v>
      </c>
      <c r="G393" s="4" t="s">
        <v>5602</v>
      </c>
      <c r="H393" s="4" t="s">
        <v>5718</v>
      </c>
      <c r="I393" s="4" t="s">
        <v>5684</v>
      </c>
      <c r="J393" s="2">
        <v>34521</v>
      </c>
      <c r="K393" s="1" t="s">
        <v>19</v>
      </c>
      <c r="L393" s="1" t="s">
        <v>111</v>
      </c>
      <c r="M393" s="1" t="s">
        <v>1970</v>
      </c>
      <c r="N393" s="1" t="s">
        <v>1971</v>
      </c>
      <c r="O393" s="1" t="s">
        <v>23</v>
      </c>
      <c r="P393" s="1" t="s">
        <v>1972</v>
      </c>
      <c r="Q393" s="1">
        <f>31-631346647</f>
        <v>-631346616</v>
      </c>
      <c r="R393" s="1">
        <v>2013</v>
      </c>
    </row>
    <row r="394" spans="1:19" ht="15" customHeight="1" x14ac:dyDescent="0.25">
      <c r="A394" s="4" t="s">
        <v>15</v>
      </c>
      <c r="B394" s="1">
        <v>4224175</v>
      </c>
      <c r="C394" s="35" t="s">
        <v>6138</v>
      </c>
      <c r="D394" s="29" t="s">
        <v>46</v>
      </c>
      <c r="E394" s="1" t="s">
        <v>1973</v>
      </c>
      <c r="F394" s="1" t="s">
        <v>1974</v>
      </c>
      <c r="G394" s="4" t="s">
        <v>5603</v>
      </c>
      <c r="H394" s="4" t="s">
        <v>5718</v>
      </c>
      <c r="I394" s="4" t="s">
        <v>5685</v>
      </c>
      <c r="J394" s="2">
        <v>32503</v>
      </c>
      <c r="K394" s="1" t="s">
        <v>19</v>
      </c>
      <c r="L394" s="1" t="s">
        <v>20</v>
      </c>
      <c r="M394" s="1" t="s">
        <v>1975</v>
      </c>
      <c r="N394" s="1" t="s">
        <v>1976</v>
      </c>
      <c r="O394" s="1" t="s">
        <v>23</v>
      </c>
      <c r="P394" s="1" t="s">
        <v>1977</v>
      </c>
      <c r="Q394" s="1">
        <f>31-634168439</f>
        <v>-634168408</v>
      </c>
      <c r="R394" s="1">
        <v>2013</v>
      </c>
    </row>
    <row r="395" spans="1:19" ht="15" customHeight="1" x14ac:dyDescent="0.25">
      <c r="A395" s="4" t="s">
        <v>15</v>
      </c>
      <c r="B395" s="1">
        <v>4278801</v>
      </c>
      <c r="C395" s="35" t="s">
        <v>6139</v>
      </c>
      <c r="D395" s="29" t="s">
        <v>1978</v>
      </c>
      <c r="E395" s="1" t="s">
        <v>1979</v>
      </c>
      <c r="F395" s="1" t="s">
        <v>1980</v>
      </c>
      <c r="G395" s="4" t="s">
        <v>5603</v>
      </c>
      <c r="H395" s="4" t="s">
        <v>5718</v>
      </c>
      <c r="I395" s="4" t="s">
        <v>5685</v>
      </c>
      <c r="J395" s="2">
        <v>34975</v>
      </c>
      <c r="K395" s="1" t="s">
        <v>19</v>
      </c>
      <c r="L395" s="1" t="s">
        <v>20</v>
      </c>
      <c r="M395" s="1" t="s">
        <v>1981</v>
      </c>
      <c r="N395" s="1" t="s">
        <v>1982</v>
      </c>
      <c r="O395" s="1" t="s">
        <v>23</v>
      </c>
      <c r="P395" s="1" t="s">
        <v>1983</v>
      </c>
      <c r="Q395" s="1">
        <f>31-637419697</f>
        <v>-637419666</v>
      </c>
      <c r="R395" s="1">
        <v>2013</v>
      </c>
    </row>
    <row r="396" spans="1:19" ht="15" customHeight="1" x14ac:dyDescent="0.25">
      <c r="A396" s="4" t="s">
        <v>15</v>
      </c>
      <c r="B396" s="1">
        <v>4310020</v>
      </c>
      <c r="C396" s="35" t="s">
        <v>6140</v>
      </c>
      <c r="D396" s="29" t="s">
        <v>1984</v>
      </c>
      <c r="E396" s="1" t="s">
        <v>1985</v>
      </c>
      <c r="F396" s="1" t="s">
        <v>1986</v>
      </c>
      <c r="G396" s="4" t="s">
        <v>5603</v>
      </c>
      <c r="H396" s="4" t="s">
        <v>5718</v>
      </c>
      <c r="I396" s="4" t="s">
        <v>5685</v>
      </c>
      <c r="J396" s="2">
        <v>34767</v>
      </c>
      <c r="K396" s="1" t="s">
        <v>19</v>
      </c>
      <c r="L396" s="1" t="s">
        <v>20</v>
      </c>
      <c r="M396" s="1" t="s">
        <v>1987</v>
      </c>
      <c r="N396" s="1" t="s">
        <v>1988</v>
      </c>
      <c r="O396" s="1" t="s">
        <v>23</v>
      </c>
      <c r="P396" s="1" t="s">
        <v>1989</v>
      </c>
      <c r="Q396" s="1">
        <f>31-621446559</f>
        <v>-621446528</v>
      </c>
      <c r="R396" s="1">
        <v>2013</v>
      </c>
    </row>
    <row r="397" spans="1:19" ht="15" customHeight="1" x14ac:dyDescent="0.25">
      <c r="A397" s="4" t="s">
        <v>15</v>
      </c>
      <c r="B397" s="1">
        <v>4335325</v>
      </c>
      <c r="C397" s="35" t="s">
        <v>6141</v>
      </c>
      <c r="D397" s="29" t="s">
        <v>1990</v>
      </c>
      <c r="E397" s="1" t="s">
        <v>1991</v>
      </c>
      <c r="F397" s="1" t="s">
        <v>1992</v>
      </c>
      <c r="G397" s="4" t="s">
        <v>5603</v>
      </c>
      <c r="H397" s="4" t="s">
        <v>5718</v>
      </c>
      <c r="I397" s="4" t="s">
        <v>5685</v>
      </c>
      <c r="J397" s="2">
        <v>33803</v>
      </c>
      <c r="K397" s="1" t="s">
        <v>19</v>
      </c>
      <c r="L397" s="1" t="s">
        <v>20</v>
      </c>
      <c r="M397" s="1" t="s">
        <v>1993</v>
      </c>
      <c r="N397" s="1" t="s">
        <v>1994</v>
      </c>
      <c r="O397" s="1" t="s">
        <v>23</v>
      </c>
      <c r="P397" s="1" t="s">
        <v>1995</v>
      </c>
      <c r="Q397" s="1">
        <f>31-633165004</f>
        <v>-633164973</v>
      </c>
      <c r="R397" s="1">
        <v>2013</v>
      </c>
    </row>
    <row r="398" spans="1:19" ht="15" customHeight="1" x14ac:dyDescent="0.25">
      <c r="A398" s="4" t="s">
        <v>15</v>
      </c>
      <c r="B398" s="1">
        <v>4290542</v>
      </c>
      <c r="C398" s="35" t="s">
        <v>6142</v>
      </c>
      <c r="D398" s="29" t="s">
        <v>1996</v>
      </c>
      <c r="E398" s="1" t="s">
        <v>1997</v>
      </c>
      <c r="F398" s="1" t="s">
        <v>928</v>
      </c>
      <c r="G398" s="4" t="s">
        <v>5603</v>
      </c>
      <c r="H398" s="4" t="s">
        <v>5718</v>
      </c>
      <c r="I398" s="4" t="s">
        <v>5685</v>
      </c>
      <c r="J398" s="2">
        <v>34924</v>
      </c>
      <c r="K398" s="1" t="s">
        <v>19</v>
      </c>
      <c r="L398" s="1" t="s">
        <v>20</v>
      </c>
      <c r="M398" s="1" t="s">
        <v>1998</v>
      </c>
      <c r="N398" s="1" t="s">
        <v>1999</v>
      </c>
      <c r="O398" s="1" t="s">
        <v>23</v>
      </c>
      <c r="P398" s="1" t="s">
        <v>2000</v>
      </c>
      <c r="Q398" s="1">
        <f>31-641121327</f>
        <v>-641121296</v>
      </c>
      <c r="R398" s="1">
        <v>2013</v>
      </c>
    </row>
    <row r="399" spans="1:19" ht="15" customHeight="1" x14ac:dyDescent="0.25">
      <c r="A399" s="4" t="s">
        <v>15</v>
      </c>
      <c r="B399" s="1">
        <v>4296664</v>
      </c>
      <c r="C399" s="35" t="s">
        <v>6143</v>
      </c>
      <c r="D399" s="29" t="s">
        <v>2001</v>
      </c>
      <c r="E399" s="1" t="s">
        <v>2002</v>
      </c>
      <c r="F399" s="1" t="s">
        <v>54</v>
      </c>
      <c r="G399" s="4" t="s">
        <v>5603</v>
      </c>
      <c r="H399" s="4" t="s">
        <v>5718</v>
      </c>
      <c r="I399" s="4" t="s">
        <v>5685</v>
      </c>
      <c r="J399" s="2">
        <v>34646</v>
      </c>
      <c r="K399" s="1" t="s">
        <v>19</v>
      </c>
      <c r="L399" s="1" t="s">
        <v>20</v>
      </c>
      <c r="M399" s="1" t="s">
        <v>2003</v>
      </c>
      <c r="N399" s="1" t="s">
        <v>2004</v>
      </c>
      <c r="O399" s="1" t="s">
        <v>23</v>
      </c>
      <c r="P399" s="1" t="s">
        <v>2005</v>
      </c>
      <c r="Q399" s="1">
        <f>31-610708568</f>
        <v>-610708537</v>
      </c>
      <c r="R399" s="1">
        <v>2013</v>
      </c>
    </row>
    <row r="400" spans="1:19" ht="15" customHeight="1" x14ac:dyDescent="0.25">
      <c r="A400" s="4" t="s">
        <v>15</v>
      </c>
      <c r="B400" s="1">
        <v>4293614</v>
      </c>
      <c r="C400" s="35" t="s">
        <v>6144</v>
      </c>
      <c r="D400" s="29" t="s">
        <v>2011</v>
      </c>
      <c r="E400" s="1" t="s">
        <v>2012</v>
      </c>
      <c r="F400" s="1" t="s">
        <v>649</v>
      </c>
      <c r="G400" s="4" t="s">
        <v>5603</v>
      </c>
      <c r="H400" s="4" t="s">
        <v>5718</v>
      </c>
      <c r="I400" s="4" t="s">
        <v>5685</v>
      </c>
      <c r="J400" s="2">
        <v>34820</v>
      </c>
      <c r="K400" s="1" t="s">
        <v>19</v>
      </c>
      <c r="L400" s="1" t="s">
        <v>111</v>
      </c>
      <c r="M400" s="1" t="s">
        <v>2013</v>
      </c>
      <c r="N400" s="1" t="s">
        <v>2014</v>
      </c>
      <c r="O400" s="1" t="s">
        <v>23</v>
      </c>
      <c r="P400" s="1" t="s">
        <v>2015</v>
      </c>
      <c r="Q400" s="1">
        <f>31-614778678</f>
        <v>-614778647</v>
      </c>
      <c r="R400" s="1">
        <v>2013</v>
      </c>
    </row>
    <row r="401" spans="1:20" ht="15" customHeight="1" x14ac:dyDescent="0.25">
      <c r="A401" s="4" t="s">
        <v>15</v>
      </c>
      <c r="B401" s="1">
        <v>4292987</v>
      </c>
      <c r="C401" s="35" t="s">
        <v>6145</v>
      </c>
      <c r="D401" s="29" t="s">
        <v>2006</v>
      </c>
      <c r="E401" s="1" t="s">
        <v>2007</v>
      </c>
      <c r="F401" s="1" t="s">
        <v>348</v>
      </c>
      <c r="G401" s="4" t="s">
        <v>5603</v>
      </c>
      <c r="H401" s="4" t="s">
        <v>5718</v>
      </c>
      <c r="I401" s="4" t="s">
        <v>5685</v>
      </c>
      <c r="J401" s="2">
        <v>34721</v>
      </c>
      <c r="K401" s="1" t="s">
        <v>19</v>
      </c>
      <c r="L401" s="1" t="s">
        <v>20</v>
      </c>
      <c r="M401" s="1" t="s">
        <v>2008</v>
      </c>
      <c r="N401" s="1" t="s">
        <v>2009</v>
      </c>
      <c r="O401" s="1" t="s">
        <v>23</v>
      </c>
      <c r="P401" s="1" t="s">
        <v>2010</v>
      </c>
      <c r="Q401" s="1">
        <f>31-624955759</f>
        <v>-624955728</v>
      </c>
      <c r="R401" s="1">
        <v>2013</v>
      </c>
    </row>
    <row r="402" spans="1:20" ht="15" customHeight="1" x14ac:dyDescent="0.25">
      <c r="A402" s="4" t="s">
        <v>15</v>
      </c>
      <c r="B402" s="1">
        <v>4318242</v>
      </c>
      <c r="C402" s="35" t="s">
        <v>6146</v>
      </c>
      <c r="D402" s="29" t="s">
        <v>2016</v>
      </c>
      <c r="E402" s="1" t="s">
        <v>2017</v>
      </c>
      <c r="F402" s="1" t="s">
        <v>2018</v>
      </c>
      <c r="G402" s="4" t="s">
        <v>5604</v>
      </c>
      <c r="H402" s="4" t="s">
        <v>5718</v>
      </c>
      <c r="I402" s="4" t="s">
        <v>5685</v>
      </c>
      <c r="J402" s="2">
        <v>34625</v>
      </c>
      <c r="K402" s="1" t="s">
        <v>19</v>
      </c>
      <c r="L402" s="1" t="s">
        <v>20</v>
      </c>
      <c r="M402" s="1" t="s">
        <v>2019</v>
      </c>
      <c r="N402" s="1" t="s">
        <v>2020</v>
      </c>
      <c r="O402" s="1" t="s">
        <v>23</v>
      </c>
      <c r="P402" s="1" t="s">
        <v>2021</v>
      </c>
      <c r="Q402" s="1">
        <f>31-634106726</f>
        <v>-634106695</v>
      </c>
      <c r="R402" s="1">
        <v>2013</v>
      </c>
    </row>
    <row r="403" spans="1:20" ht="15" customHeight="1" x14ac:dyDescent="0.25">
      <c r="A403" s="4" t="s">
        <v>15</v>
      </c>
      <c r="B403" s="1">
        <v>4298969</v>
      </c>
      <c r="C403" s="35" t="s">
        <v>6147</v>
      </c>
      <c r="D403" s="29" t="s">
        <v>2022</v>
      </c>
      <c r="E403" s="1" t="s">
        <v>2023</v>
      </c>
      <c r="F403" s="1" t="s">
        <v>1290</v>
      </c>
      <c r="G403" s="4" t="s">
        <v>5604</v>
      </c>
      <c r="H403" s="4" t="s">
        <v>5718</v>
      </c>
      <c r="I403" s="4" t="s">
        <v>5685</v>
      </c>
      <c r="J403" s="2">
        <v>34529</v>
      </c>
      <c r="K403" s="1" t="s">
        <v>19</v>
      </c>
      <c r="L403" s="1" t="s">
        <v>20</v>
      </c>
      <c r="M403" s="1" t="s">
        <v>2024</v>
      </c>
      <c r="N403" s="1" t="s">
        <v>2025</v>
      </c>
      <c r="O403" s="1" t="s">
        <v>23</v>
      </c>
      <c r="P403" s="1" t="s">
        <v>2026</v>
      </c>
      <c r="Q403" s="1">
        <f>31-612973758</f>
        <v>-612973727</v>
      </c>
      <c r="R403" s="1">
        <v>2013</v>
      </c>
    </row>
    <row r="404" spans="1:20" ht="15" customHeight="1" x14ac:dyDescent="0.25">
      <c r="A404" s="4" t="s">
        <v>15</v>
      </c>
      <c r="B404" s="1">
        <v>4306821</v>
      </c>
      <c r="C404" s="35" t="s">
        <v>6148</v>
      </c>
      <c r="D404" s="29" t="s">
        <v>2027</v>
      </c>
      <c r="E404" s="1" t="s">
        <v>2028</v>
      </c>
      <c r="F404" s="1" t="s">
        <v>2029</v>
      </c>
      <c r="G404" s="4" t="s">
        <v>5604</v>
      </c>
      <c r="H404" s="4" t="s">
        <v>5718</v>
      </c>
      <c r="I404" s="4" t="s">
        <v>5685</v>
      </c>
      <c r="J404" s="2">
        <v>34900</v>
      </c>
      <c r="K404" s="1" t="s">
        <v>19</v>
      </c>
      <c r="L404" s="1" t="s">
        <v>20</v>
      </c>
      <c r="M404" s="1" t="s">
        <v>2030</v>
      </c>
      <c r="N404" s="1" t="s">
        <v>2031</v>
      </c>
      <c r="O404" s="1" t="s">
        <v>23</v>
      </c>
      <c r="P404" s="1" t="s">
        <v>2032</v>
      </c>
      <c r="Q404" s="1">
        <f>31-611727548</f>
        <v>-611727517</v>
      </c>
      <c r="R404" s="1">
        <v>2013</v>
      </c>
    </row>
    <row r="405" spans="1:20" ht="15" customHeight="1" x14ac:dyDescent="0.25">
      <c r="A405" s="4" t="s">
        <v>15</v>
      </c>
      <c r="B405" s="1">
        <v>4286863</v>
      </c>
      <c r="C405" s="35" t="s">
        <v>6149</v>
      </c>
      <c r="D405" s="29" t="s">
        <v>2033</v>
      </c>
      <c r="E405" s="1" t="s">
        <v>2034</v>
      </c>
      <c r="F405" s="1" t="s">
        <v>998</v>
      </c>
      <c r="G405" s="4" t="s">
        <v>5604</v>
      </c>
      <c r="H405" s="4" t="s">
        <v>5718</v>
      </c>
      <c r="I405" s="4" t="s">
        <v>5685</v>
      </c>
      <c r="J405" s="2">
        <v>35143</v>
      </c>
      <c r="K405" s="1" t="s">
        <v>19</v>
      </c>
      <c r="L405" s="1" t="s">
        <v>20</v>
      </c>
      <c r="M405" s="1" t="s">
        <v>2035</v>
      </c>
      <c r="N405" s="1" t="s">
        <v>2036</v>
      </c>
      <c r="O405" s="1" t="s">
        <v>23</v>
      </c>
      <c r="P405" s="1" t="s">
        <v>2037</v>
      </c>
      <c r="Q405" s="1">
        <f>31-683795387</f>
        <v>-683795356</v>
      </c>
      <c r="R405" s="1">
        <v>2013</v>
      </c>
    </row>
    <row r="406" spans="1:20" ht="15" customHeight="1" x14ac:dyDescent="0.25">
      <c r="A406" s="4" t="s">
        <v>15</v>
      </c>
      <c r="B406" s="1">
        <v>4285298</v>
      </c>
      <c r="C406" s="35" t="s">
        <v>6150</v>
      </c>
      <c r="D406" s="29" t="s">
        <v>2038</v>
      </c>
      <c r="E406" s="1" t="s">
        <v>2039</v>
      </c>
      <c r="F406" s="1" t="s">
        <v>2040</v>
      </c>
      <c r="G406" s="4" t="s">
        <v>5604</v>
      </c>
      <c r="H406" s="4" t="s">
        <v>5718</v>
      </c>
      <c r="I406" s="4" t="s">
        <v>5685</v>
      </c>
      <c r="J406" s="2">
        <v>34727</v>
      </c>
      <c r="K406" s="1" t="s">
        <v>19</v>
      </c>
      <c r="L406" s="1" t="s">
        <v>20</v>
      </c>
      <c r="M406" s="1" t="s">
        <v>2041</v>
      </c>
      <c r="N406" s="1" t="s">
        <v>2042</v>
      </c>
      <c r="O406" s="1" t="s">
        <v>23</v>
      </c>
      <c r="P406" s="1" t="s">
        <v>2043</v>
      </c>
      <c r="Q406" s="1">
        <f>31-634667894</f>
        <v>-634667863</v>
      </c>
      <c r="R406" s="1">
        <v>2013</v>
      </c>
    </row>
    <row r="407" spans="1:20" ht="15" customHeight="1" x14ac:dyDescent="0.25">
      <c r="A407" s="4" t="s">
        <v>15</v>
      </c>
      <c r="B407" s="1">
        <v>4317564</v>
      </c>
      <c r="C407" s="35" t="s">
        <v>6151</v>
      </c>
      <c r="D407" s="29" t="s">
        <v>2044</v>
      </c>
      <c r="E407" s="1" t="s">
        <v>2045</v>
      </c>
      <c r="F407" s="1" t="s">
        <v>2046</v>
      </c>
      <c r="G407" s="4" t="s">
        <v>5604</v>
      </c>
      <c r="H407" s="4" t="s">
        <v>5718</v>
      </c>
      <c r="I407" s="4" t="s">
        <v>5685</v>
      </c>
      <c r="J407" s="2">
        <v>34713</v>
      </c>
      <c r="K407" s="1" t="s">
        <v>19</v>
      </c>
      <c r="L407" s="1" t="s">
        <v>20</v>
      </c>
      <c r="M407" s="1" t="s">
        <v>2047</v>
      </c>
      <c r="N407" s="1" t="s">
        <v>2048</v>
      </c>
      <c r="O407" s="1" t="s">
        <v>23</v>
      </c>
      <c r="P407" s="1" t="s">
        <v>2049</v>
      </c>
      <c r="Q407" s="1">
        <f>31-621607636</f>
        <v>-621607605</v>
      </c>
      <c r="R407" s="1">
        <v>2013</v>
      </c>
    </row>
    <row r="408" spans="1:20" ht="15" customHeight="1" x14ac:dyDescent="0.25">
      <c r="A408" s="4" t="s">
        <v>15</v>
      </c>
      <c r="B408" s="1">
        <v>4297474</v>
      </c>
      <c r="C408" s="35" t="s">
        <v>6152</v>
      </c>
      <c r="D408" s="29" t="s">
        <v>2050</v>
      </c>
      <c r="E408" s="1" t="s">
        <v>2051</v>
      </c>
      <c r="F408" s="1" t="s">
        <v>637</v>
      </c>
      <c r="G408" s="4" t="s">
        <v>5604</v>
      </c>
      <c r="H408" s="4" t="s">
        <v>5718</v>
      </c>
      <c r="I408" s="4" t="s">
        <v>5685</v>
      </c>
      <c r="J408" s="2">
        <v>34994</v>
      </c>
      <c r="K408" s="1" t="s">
        <v>19</v>
      </c>
      <c r="L408" s="1" t="s">
        <v>20</v>
      </c>
      <c r="M408" s="1" t="s">
        <v>2052</v>
      </c>
      <c r="N408" s="1" t="s">
        <v>2053</v>
      </c>
      <c r="O408" s="1" t="s">
        <v>23</v>
      </c>
      <c r="P408" s="1" t="s">
        <v>2054</v>
      </c>
      <c r="Q408" s="1">
        <f>31-651857948</f>
        <v>-651857917</v>
      </c>
      <c r="R408" s="1">
        <v>2013</v>
      </c>
    </row>
    <row r="409" spans="1:20" ht="15" customHeight="1" x14ac:dyDescent="0.25">
      <c r="A409" s="4" t="s">
        <v>15</v>
      </c>
      <c r="B409" s="1">
        <v>4233913</v>
      </c>
      <c r="C409" s="35" t="s">
        <v>6153</v>
      </c>
      <c r="D409" s="29" t="s">
        <v>2055</v>
      </c>
      <c r="E409" s="1" t="s">
        <v>2056</v>
      </c>
      <c r="F409" s="1" t="s">
        <v>179</v>
      </c>
      <c r="G409" s="4" t="s">
        <v>5604</v>
      </c>
      <c r="H409" s="4" t="s">
        <v>5718</v>
      </c>
      <c r="I409" s="4" t="s">
        <v>5685</v>
      </c>
      <c r="J409" s="2">
        <v>34481</v>
      </c>
      <c r="K409" s="1" t="s">
        <v>19</v>
      </c>
      <c r="L409" s="1" t="s">
        <v>20</v>
      </c>
      <c r="M409" s="1" t="s">
        <v>2057</v>
      </c>
      <c r="N409" s="1" t="s">
        <v>2058</v>
      </c>
      <c r="O409" s="1" t="s">
        <v>23</v>
      </c>
      <c r="P409" s="1" t="s">
        <v>2059</v>
      </c>
      <c r="Q409" s="1">
        <f>31-643263379</f>
        <v>-643263348</v>
      </c>
      <c r="R409" s="1">
        <v>2012</v>
      </c>
      <c r="S409" s="1" t="s">
        <v>88</v>
      </c>
    </row>
    <row r="410" spans="1:20" ht="15" customHeight="1" x14ac:dyDescent="0.25">
      <c r="A410" s="4" t="s">
        <v>15</v>
      </c>
      <c r="B410" s="1">
        <v>4237722</v>
      </c>
      <c r="C410" s="35" t="s">
        <v>6154</v>
      </c>
      <c r="D410" s="29" t="s">
        <v>2091</v>
      </c>
      <c r="E410" s="1" t="s">
        <v>2092</v>
      </c>
      <c r="F410" s="1" t="s">
        <v>805</v>
      </c>
      <c r="G410" s="4" t="s">
        <v>5605</v>
      </c>
      <c r="H410" s="4" t="s">
        <v>5718</v>
      </c>
      <c r="I410" s="4" t="s">
        <v>5686</v>
      </c>
      <c r="J410" s="2">
        <v>34485</v>
      </c>
      <c r="K410" s="1" t="s">
        <v>19</v>
      </c>
      <c r="L410" s="1" t="s">
        <v>20</v>
      </c>
      <c r="P410" s="1" t="s">
        <v>2093</v>
      </c>
      <c r="R410" s="1">
        <v>2013</v>
      </c>
      <c r="T410" s="1" t="s">
        <v>5217</v>
      </c>
    </row>
    <row r="411" spans="1:20" ht="15" customHeight="1" x14ac:dyDescent="0.25">
      <c r="A411" s="4" t="s">
        <v>15</v>
      </c>
      <c r="B411" s="1">
        <v>4273710</v>
      </c>
      <c r="C411" s="35" t="s">
        <v>6155</v>
      </c>
      <c r="D411" s="29" t="s">
        <v>2060</v>
      </c>
      <c r="E411" s="1" t="s">
        <v>2061</v>
      </c>
      <c r="F411" s="1" t="s">
        <v>591</v>
      </c>
      <c r="G411" s="4" t="s">
        <v>5605</v>
      </c>
      <c r="H411" s="4" t="s">
        <v>5718</v>
      </c>
      <c r="I411" s="4" t="s">
        <v>5686</v>
      </c>
      <c r="J411" s="2">
        <v>34736</v>
      </c>
      <c r="K411" s="1" t="s">
        <v>19</v>
      </c>
      <c r="L411" s="1" t="s">
        <v>20</v>
      </c>
      <c r="M411" s="1" t="s">
        <v>2062</v>
      </c>
      <c r="N411" s="1" t="s">
        <v>2063</v>
      </c>
      <c r="O411" s="1" t="s">
        <v>23</v>
      </c>
      <c r="P411" s="1" t="s">
        <v>2064</v>
      </c>
      <c r="Q411" s="1">
        <f>31-639135425</f>
        <v>-639135394</v>
      </c>
      <c r="R411" s="1">
        <v>2013</v>
      </c>
    </row>
    <row r="412" spans="1:20" ht="15" customHeight="1" x14ac:dyDescent="0.25">
      <c r="A412" s="4" t="s">
        <v>15</v>
      </c>
      <c r="B412" s="1">
        <v>4318862</v>
      </c>
      <c r="C412" s="35" t="s">
        <v>6156</v>
      </c>
      <c r="D412" s="29" t="s">
        <v>2065</v>
      </c>
      <c r="E412" s="1" t="s">
        <v>2066</v>
      </c>
      <c r="F412" s="1" t="s">
        <v>643</v>
      </c>
      <c r="G412" s="4" t="s">
        <v>5605</v>
      </c>
      <c r="H412" s="4" t="s">
        <v>5718</v>
      </c>
      <c r="I412" s="4" t="s">
        <v>5686</v>
      </c>
      <c r="J412" s="2">
        <v>34698</v>
      </c>
      <c r="K412" s="1" t="s">
        <v>19</v>
      </c>
      <c r="L412" s="1" t="s">
        <v>20</v>
      </c>
      <c r="M412" s="1" t="s">
        <v>2067</v>
      </c>
      <c r="N412" s="1" t="s">
        <v>2068</v>
      </c>
      <c r="O412" s="1" t="s">
        <v>23</v>
      </c>
      <c r="P412" s="1" t="s">
        <v>2069</v>
      </c>
      <c r="Q412" s="1">
        <f>31-651625966</f>
        <v>-651625935</v>
      </c>
      <c r="R412" s="1">
        <v>2013</v>
      </c>
    </row>
    <row r="413" spans="1:20" ht="15" customHeight="1" x14ac:dyDescent="0.25">
      <c r="A413" s="4" t="s">
        <v>15</v>
      </c>
      <c r="B413" s="1">
        <v>4277503</v>
      </c>
      <c r="C413" s="35" t="s">
        <v>6157</v>
      </c>
      <c r="D413" s="29" t="s">
        <v>2070</v>
      </c>
      <c r="E413" s="1" t="s">
        <v>2071</v>
      </c>
      <c r="F413" s="1" t="s">
        <v>2072</v>
      </c>
      <c r="G413" s="4" t="s">
        <v>5605</v>
      </c>
      <c r="H413" s="4" t="s">
        <v>5718</v>
      </c>
      <c r="I413" s="4" t="s">
        <v>5686</v>
      </c>
      <c r="J413" s="2">
        <v>34284</v>
      </c>
      <c r="K413" s="1" t="s">
        <v>19</v>
      </c>
      <c r="L413" s="1" t="s">
        <v>20</v>
      </c>
      <c r="M413" s="1" t="s">
        <v>2073</v>
      </c>
      <c r="N413" s="1" t="s">
        <v>2074</v>
      </c>
      <c r="O413" s="1" t="s">
        <v>23</v>
      </c>
      <c r="P413" s="1" t="s">
        <v>2075</v>
      </c>
      <c r="R413" s="1">
        <v>2013</v>
      </c>
    </row>
    <row r="414" spans="1:20" ht="15" customHeight="1" x14ac:dyDescent="0.25">
      <c r="A414" s="4" t="s">
        <v>15</v>
      </c>
      <c r="B414" s="1">
        <v>4317653</v>
      </c>
      <c r="C414" s="35" t="s">
        <v>6158</v>
      </c>
      <c r="D414" s="29" t="s">
        <v>2076</v>
      </c>
      <c r="E414" s="1" t="s">
        <v>2077</v>
      </c>
      <c r="F414" s="1" t="s">
        <v>1146</v>
      </c>
      <c r="G414" s="4" t="s">
        <v>5605</v>
      </c>
      <c r="H414" s="4" t="s">
        <v>5718</v>
      </c>
      <c r="I414" s="4" t="s">
        <v>5686</v>
      </c>
      <c r="J414" s="2">
        <v>34896</v>
      </c>
      <c r="K414" s="1" t="s">
        <v>19</v>
      </c>
      <c r="L414" s="1" t="s">
        <v>20</v>
      </c>
      <c r="M414" s="1" t="s">
        <v>2078</v>
      </c>
      <c r="N414" s="1" t="s">
        <v>2079</v>
      </c>
      <c r="O414" s="1" t="s">
        <v>23</v>
      </c>
      <c r="P414" s="1" t="s">
        <v>2080</v>
      </c>
      <c r="Q414" s="1">
        <f>31-648402595</f>
        <v>-648402564</v>
      </c>
      <c r="R414" s="1">
        <v>2013</v>
      </c>
    </row>
    <row r="415" spans="1:20" ht="15" customHeight="1" x14ac:dyDescent="0.25">
      <c r="A415" s="4" t="s">
        <v>15</v>
      </c>
      <c r="B415" s="1">
        <v>4296257</v>
      </c>
      <c r="C415" s="35" t="s">
        <v>6159</v>
      </c>
      <c r="D415" s="29" t="s">
        <v>2081</v>
      </c>
      <c r="E415" s="1" t="s">
        <v>2082</v>
      </c>
      <c r="F415" s="1" t="s">
        <v>2083</v>
      </c>
      <c r="G415" s="4" t="s">
        <v>5605</v>
      </c>
      <c r="H415" s="4" t="s">
        <v>5718</v>
      </c>
      <c r="I415" s="4" t="s">
        <v>5686</v>
      </c>
      <c r="J415" s="2">
        <v>34645</v>
      </c>
      <c r="K415" s="1" t="s">
        <v>19</v>
      </c>
      <c r="L415" s="1" t="s">
        <v>20</v>
      </c>
      <c r="M415" s="1" t="s">
        <v>2084</v>
      </c>
      <c r="N415" s="1" t="s">
        <v>2085</v>
      </c>
      <c r="O415" s="1" t="s">
        <v>23</v>
      </c>
      <c r="P415" s="1" t="s">
        <v>2086</v>
      </c>
      <c r="Q415" s="1">
        <f>31-624964401</f>
        <v>-624964370</v>
      </c>
      <c r="R415" s="1">
        <v>2013</v>
      </c>
    </row>
    <row r="416" spans="1:20" ht="15" customHeight="1" x14ac:dyDescent="0.25">
      <c r="A416" s="4" t="s">
        <v>15</v>
      </c>
      <c r="B416" s="1">
        <v>4273834</v>
      </c>
      <c r="C416" s="35" t="s">
        <v>6160</v>
      </c>
      <c r="D416" s="29" t="s">
        <v>4812</v>
      </c>
      <c r="E416" s="1" t="s">
        <v>4813</v>
      </c>
      <c r="F416" s="1" t="s">
        <v>4814</v>
      </c>
      <c r="G416" s="4" t="s">
        <v>5605</v>
      </c>
      <c r="H416" s="4" t="s">
        <v>5718</v>
      </c>
      <c r="I416" s="4" t="s">
        <v>5686</v>
      </c>
      <c r="J416" s="2">
        <v>34512</v>
      </c>
      <c r="K416" s="1" t="s">
        <v>19</v>
      </c>
      <c r="L416" s="1" t="s">
        <v>20</v>
      </c>
      <c r="M416" s="1" t="s">
        <v>4815</v>
      </c>
      <c r="N416" s="1" t="s">
        <v>4816</v>
      </c>
      <c r="O416" s="1" t="s">
        <v>23</v>
      </c>
      <c r="P416" s="1" t="s">
        <v>4817</v>
      </c>
      <c r="Q416" s="1">
        <f>971-509207331</f>
        <v>-509206360</v>
      </c>
      <c r="R416" s="1">
        <v>2013</v>
      </c>
    </row>
    <row r="417" spans="1:19" ht="15" customHeight="1" x14ac:dyDescent="0.25">
      <c r="A417" s="4" t="s">
        <v>15</v>
      </c>
      <c r="B417" s="1">
        <v>4325613</v>
      </c>
      <c r="C417" s="35" t="s">
        <v>6161</v>
      </c>
      <c r="D417" s="29" t="s">
        <v>1035</v>
      </c>
      <c r="E417" s="1" t="s">
        <v>2087</v>
      </c>
      <c r="F417" s="1" t="s">
        <v>301</v>
      </c>
      <c r="G417" s="4" t="s">
        <v>5605</v>
      </c>
      <c r="H417" s="4" t="s">
        <v>5718</v>
      </c>
      <c r="I417" s="4" t="s">
        <v>5686</v>
      </c>
      <c r="J417" s="2">
        <v>34524</v>
      </c>
      <c r="K417" s="1" t="s">
        <v>19</v>
      </c>
      <c r="L417" s="1" t="s">
        <v>20</v>
      </c>
      <c r="M417" s="1" t="s">
        <v>2088</v>
      </c>
      <c r="N417" s="1" t="s">
        <v>2089</v>
      </c>
      <c r="O417" s="1" t="s">
        <v>23</v>
      </c>
      <c r="P417" s="1" t="s">
        <v>2090</v>
      </c>
      <c r="Q417" s="1">
        <f>31-616775756</f>
        <v>-616775725</v>
      </c>
      <c r="R417" s="1">
        <v>2013</v>
      </c>
    </row>
    <row r="418" spans="1:19" ht="15" customHeight="1" x14ac:dyDescent="0.25">
      <c r="A418" s="4" t="s">
        <v>15</v>
      </c>
      <c r="B418" s="1">
        <v>4310500</v>
      </c>
      <c r="C418" s="35" t="s">
        <v>6162</v>
      </c>
      <c r="D418" s="29" t="s">
        <v>2131</v>
      </c>
      <c r="E418" s="1" t="s">
        <v>2132</v>
      </c>
      <c r="F418" s="1" t="s">
        <v>2133</v>
      </c>
      <c r="G418" s="4" t="s">
        <v>5606</v>
      </c>
      <c r="H418" s="4" t="s">
        <v>5718</v>
      </c>
      <c r="I418" s="4" t="s">
        <v>5686</v>
      </c>
      <c r="J418" s="2">
        <v>34775</v>
      </c>
      <c r="K418" s="1" t="s">
        <v>2134</v>
      </c>
      <c r="L418" s="1" t="s">
        <v>111</v>
      </c>
      <c r="M418" s="1" t="s">
        <v>2135</v>
      </c>
      <c r="N418" s="1" t="s">
        <v>2136</v>
      </c>
      <c r="O418" s="1" t="s">
        <v>23</v>
      </c>
      <c r="P418" s="1" t="s">
        <v>2137</v>
      </c>
      <c r="Q418" s="1">
        <f>31-642672755</f>
        <v>-642672724</v>
      </c>
      <c r="R418" s="1">
        <v>2013</v>
      </c>
    </row>
    <row r="419" spans="1:19" ht="15" customHeight="1" x14ac:dyDescent="0.25">
      <c r="A419" s="4" t="s">
        <v>15</v>
      </c>
      <c r="B419" s="1">
        <v>4317165</v>
      </c>
      <c r="C419" s="35" t="s">
        <v>6163</v>
      </c>
      <c r="D419" s="29" t="s">
        <v>2094</v>
      </c>
      <c r="E419" s="1" t="s">
        <v>2095</v>
      </c>
      <c r="F419" s="1" t="s">
        <v>591</v>
      </c>
      <c r="G419" s="4" t="s">
        <v>5606</v>
      </c>
      <c r="H419" s="4" t="s">
        <v>5718</v>
      </c>
      <c r="I419" s="4" t="s">
        <v>5686</v>
      </c>
      <c r="J419" s="2">
        <v>35255</v>
      </c>
      <c r="K419" s="1" t="s">
        <v>19</v>
      </c>
      <c r="L419" s="1" t="s">
        <v>20</v>
      </c>
      <c r="M419" s="1" t="s">
        <v>2096</v>
      </c>
      <c r="N419" s="1" t="s">
        <v>2097</v>
      </c>
      <c r="O419" s="1" t="s">
        <v>23</v>
      </c>
      <c r="P419" s="1" t="s">
        <v>2098</v>
      </c>
      <c r="Q419" s="1">
        <f>31-612535926</f>
        <v>-612535895</v>
      </c>
      <c r="R419" s="1">
        <v>2013</v>
      </c>
    </row>
    <row r="420" spans="1:19" ht="15" customHeight="1" x14ac:dyDescent="0.25">
      <c r="A420" s="4" t="s">
        <v>15</v>
      </c>
      <c r="B420" s="1">
        <v>4307062</v>
      </c>
      <c r="C420" s="35" t="s">
        <v>6164</v>
      </c>
      <c r="D420" s="29" t="s">
        <v>2099</v>
      </c>
      <c r="E420" s="1" t="s">
        <v>2100</v>
      </c>
      <c r="F420" s="1" t="s">
        <v>2101</v>
      </c>
      <c r="G420" s="4" t="s">
        <v>5606</v>
      </c>
      <c r="H420" s="4" t="s">
        <v>5718</v>
      </c>
      <c r="I420" s="4" t="s">
        <v>5686</v>
      </c>
      <c r="J420" s="2">
        <v>35223</v>
      </c>
      <c r="K420" s="1" t="s">
        <v>19</v>
      </c>
      <c r="L420" s="1" t="s">
        <v>20</v>
      </c>
      <c r="M420" s="1" t="s">
        <v>2102</v>
      </c>
      <c r="N420" s="1" t="s">
        <v>2103</v>
      </c>
      <c r="O420" s="1" t="s">
        <v>23</v>
      </c>
      <c r="P420" s="1" t="s">
        <v>2104</v>
      </c>
      <c r="Q420" s="1">
        <f>31-657933178</f>
        <v>-657933147</v>
      </c>
      <c r="R420" s="1">
        <v>2013</v>
      </c>
    </row>
    <row r="421" spans="1:19" ht="15" customHeight="1" x14ac:dyDescent="0.25">
      <c r="A421" s="4" t="s">
        <v>15</v>
      </c>
      <c r="B421" s="1">
        <v>4288386</v>
      </c>
      <c r="C421" s="35" t="s">
        <v>6165</v>
      </c>
      <c r="D421" s="29" t="s">
        <v>2105</v>
      </c>
      <c r="E421" s="1" t="s">
        <v>2106</v>
      </c>
      <c r="F421" s="1" t="s">
        <v>2107</v>
      </c>
      <c r="G421" s="4" t="s">
        <v>5606</v>
      </c>
      <c r="H421" s="4" t="s">
        <v>5718</v>
      </c>
      <c r="I421" s="4" t="s">
        <v>5686</v>
      </c>
      <c r="J421" s="2">
        <v>34617</v>
      </c>
      <c r="K421" s="1" t="s">
        <v>742</v>
      </c>
      <c r="L421" s="1" t="s">
        <v>20</v>
      </c>
      <c r="M421" s="1" t="s">
        <v>2108</v>
      </c>
      <c r="N421" s="1" t="s">
        <v>2109</v>
      </c>
      <c r="O421" s="1" t="s">
        <v>23</v>
      </c>
      <c r="P421" s="1" t="s">
        <v>2110</v>
      </c>
      <c r="Q421" s="1">
        <f>31-627357044</f>
        <v>-627357013</v>
      </c>
      <c r="R421" s="1">
        <v>2013</v>
      </c>
    </row>
    <row r="422" spans="1:19" ht="15" customHeight="1" x14ac:dyDescent="0.25">
      <c r="A422" s="4" t="s">
        <v>15</v>
      </c>
      <c r="B422" s="1">
        <v>4304187</v>
      </c>
      <c r="C422" s="35" t="s">
        <v>6166</v>
      </c>
      <c r="D422" s="29" t="s">
        <v>358</v>
      </c>
      <c r="E422" s="1" t="s">
        <v>2111</v>
      </c>
      <c r="F422" s="1" t="s">
        <v>539</v>
      </c>
      <c r="G422" s="4" t="s">
        <v>5606</v>
      </c>
      <c r="H422" s="4" t="s">
        <v>5718</v>
      </c>
      <c r="I422" s="4" t="s">
        <v>5686</v>
      </c>
      <c r="J422" s="2">
        <v>34712</v>
      </c>
      <c r="K422" s="1" t="s">
        <v>19</v>
      </c>
      <c r="L422" s="1" t="s">
        <v>20</v>
      </c>
      <c r="M422" s="1" t="s">
        <v>2112</v>
      </c>
      <c r="N422" s="1" t="s">
        <v>2113</v>
      </c>
      <c r="O422" s="1" t="s">
        <v>23</v>
      </c>
      <c r="P422" s="1" t="s">
        <v>2114</v>
      </c>
      <c r="Q422" s="1">
        <f>31-642806427</f>
        <v>-642806396</v>
      </c>
      <c r="R422" s="1">
        <v>2013</v>
      </c>
    </row>
    <row r="423" spans="1:19" ht="15" customHeight="1" x14ac:dyDescent="0.25">
      <c r="A423" s="4" t="s">
        <v>15</v>
      </c>
      <c r="B423" s="1">
        <v>4304659</v>
      </c>
      <c r="C423" s="35" t="s">
        <v>6167</v>
      </c>
      <c r="D423" s="29" t="s">
        <v>2115</v>
      </c>
      <c r="E423" s="1" t="s">
        <v>2116</v>
      </c>
      <c r="F423" s="1" t="s">
        <v>130</v>
      </c>
      <c r="G423" s="4" t="s">
        <v>5606</v>
      </c>
      <c r="H423" s="4" t="s">
        <v>5718</v>
      </c>
      <c r="I423" s="4" t="s">
        <v>5686</v>
      </c>
      <c r="J423" s="2">
        <v>34712</v>
      </c>
      <c r="K423" s="1" t="s">
        <v>19</v>
      </c>
      <c r="L423" s="1" t="s">
        <v>20</v>
      </c>
      <c r="M423" s="1" t="s">
        <v>2117</v>
      </c>
      <c r="N423" s="1" t="s">
        <v>2118</v>
      </c>
      <c r="O423" s="1" t="s">
        <v>23</v>
      </c>
      <c r="P423" s="1" t="s">
        <v>2119</v>
      </c>
      <c r="Q423" s="1">
        <f>31-611704473</f>
        <v>-611704442</v>
      </c>
      <c r="R423" s="1">
        <v>2013</v>
      </c>
    </row>
    <row r="424" spans="1:19" ht="15" customHeight="1" x14ac:dyDescent="0.25">
      <c r="A424" s="4" t="s">
        <v>15</v>
      </c>
      <c r="B424" s="1">
        <v>4140745</v>
      </c>
      <c r="C424" s="35" t="s">
        <v>6168</v>
      </c>
      <c r="D424" s="29" t="s">
        <v>2120</v>
      </c>
      <c r="E424" s="1" t="s">
        <v>2121</v>
      </c>
      <c r="F424" s="1" t="s">
        <v>2122</v>
      </c>
      <c r="G424" s="4" t="s">
        <v>5606</v>
      </c>
      <c r="H424" s="4" t="s">
        <v>5718</v>
      </c>
      <c r="I424" s="4" t="s">
        <v>5686</v>
      </c>
      <c r="J424" s="2">
        <v>34028</v>
      </c>
      <c r="K424" s="1" t="s">
        <v>19</v>
      </c>
      <c r="L424" s="1" t="s">
        <v>20</v>
      </c>
      <c r="M424" s="1" t="s">
        <v>478</v>
      </c>
      <c r="N424" s="1" t="s">
        <v>2123</v>
      </c>
      <c r="O424" s="1" t="s">
        <v>23</v>
      </c>
      <c r="P424" s="1" t="s">
        <v>2124</v>
      </c>
      <c r="R424" s="1">
        <v>2011</v>
      </c>
      <c r="S424" s="1" t="s">
        <v>88</v>
      </c>
    </row>
    <row r="425" spans="1:19" ht="15" customHeight="1" x14ac:dyDescent="0.25">
      <c r="A425" s="4" t="s">
        <v>15</v>
      </c>
      <c r="B425" s="1">
        <v>4315898</v>
      </c>
      <c r="C425" s="35" t="s">
        <v>6169</v>
      </c>
      <c r="D425" s="29" t="s">
        <v>2125</v>
      </c>
      <c r="E425" s="1" t="s">
        <v>2126</v>
      </c>
      <c r="F425" s="1" t="s">
        <v>2127</v>
      </c>
      <c r="G425" s="4" t="s">
        <v>5606</v>
      </c>
      <c r="H425" s="4" t="s">
        <v>5718</v>
      </c>
      <c r="I425" s="4" t="s">
        <v>5686</v>
      </c>
      <c r="J425" s="2">
        <v>34900</v>
      </c>
      <c r="K425" s="1" t="s">
        <v>19</v>
      </c>
      <c r="L425" s="1" t="s">
        <v>20</v>
      </c>
      <c r="M425" s="1" t="s">
        <v>2128</v>
      </c>
      <c r="N425" s="1" t="s">
        <v>2129</v>
      </c>
      <c r="O425" s="1" t="s">
        <v>23</v>
      </c>
      <c r="P425" s="1" t="s">
        <v>2130</v>
      </c>
      <c r="Q425" s="1">
        <f>31-681350388</f>
        <v>-681350357</v>
      </c>
      <c r="R425" s="1">
        <v>2013</v>
      </c>
    </row>
    <row r="426" spans="1:19" ht="15" customHeight="1" x14ac:dyDescent="0.25">
      <c r="A426" s="4" t="s">
        <v>15</v>
      </c>
      <c r="B426" s="1">
        <v>4320131</v>
      </c>
      <c r="C426" s="35" t="s">
        <v>6170</v>
      </c>
      <c r="D426" s="29" t="s">
        <v>2138</v>
      </c>
      <c r="E426" s="1" t="s">
        <v>2139</v>
      </c>
      <c r="F426" s="1" t="s">
        <v>2140</v>
      </c>
      <c r="G426" s="4" t="s">
        <v>5607</v>
      </c>
      <c r="H426" s="4" t="s">
        <v>5718</v>
      </c>
      <c r="I426" s="4" t="s">
        <v>5687</v>
      </c>
      <c r="J426" s="2">
        <v>34707</v>
      </c>
      <c r="K426" s="1" t="s">
        <v>19</v>
      </c>
      <c r="L426" s="1" t="s">
        <v>20</v>
      </c>
      <c r="M426" s="1" t="s">
        <v>2141</v>
      </c>
      <c r="N426" s="1" t="s">
        <v>2142</v>
      </c>
      <c r="O426" s="1" t="s">
        <v>23</v>
      </c>
      <c r="P426" s="1" t="s">
        <v>2143</v>
      </c>
      <c r="Q426" s="1">
        <f>31-638763371</f>
        <v>-638763340</v>
      </c>
      <c r="R426" s="1">
        <v>2013</v>
      </c>
    </row>
    <row r="427" spans="1:19" ht="15" customHeight="1" x14ac:dyDescent="0.25">
      <c r="A427" s="4" t="s">
        <v>15</v>
      </c>
      <c r="B427" s="1">
        <v>4317122</v>
      </c>
      <c r="C427" s="35" t="s">
        <v>6171</v>
      </c>
      <c r="D427" s="29" t="s">
        <v>2144</v>
      </c>
      <c r="E427" s="1" t="s">
        <v>2145</v>
      </c>
      <c r="F427" s="1" t="s">
        <v>443</v>
      </c>
      <c r="G427" s="4" t="s">
        <v>5607</v>
      </c>
      <c r="H427" s="4" t="s">
        <v>5718</v>
      </c>
      <c r="I427" s="4" t="s">
        <v>5687</v>
      </c>
      <c r="J427" s="2">
        <v>34729</v>
      </c>
      <c r="K427" s="1" t="s">
        <v>19</v>
      </c>
      <c r="L427" s="1" t="s">
        <v>20</v>
      </c>
      <c r="M427" s="1" t="s">
        <v>2146</v>
      </c>
      <c r="N427" s="1" t="s">
        <v>2109</v>
      </c>
      <c r="O427" s="1" t="s">
        <v>23</v>
      </c>
      <c r="P427" s="1" t="s">
        <v>2147</v>
      </c>
      <c r="Q427" s="1">
        <f>31-611735992</f>
        <v>-611735961</v>
      </c>
      <c r="R427" s="1">
        <v>2013</v>
      </c>
    </row>
    <row r="428" spans="1:19" ht="15" customHeight="1" x14ac:dyDescent="0.25">
      <c r="A428" s="4" t="s">
        <v>15</v>
      </c>
      <c r="B428" s="1">
        <v>4180429</v>
      </c>
      <c r="C428" s="35" t="s">
        <v>6172</v>
      </c>
      <c r="D428" s="29" t="s">
        <v>2148</v>
      </c>
      <c r="E428" s="1" t="s">
        <v>2149</v>
      </c>
      <c r="F428" s="1" t="s">
        <v>1886</v>
      </c>
      <c r="G428" s="4" t="s">
        <v>5607</v>
      </c>
      <c r="H428" s="4" t="s">
        <v>5718</v>
      </c>
      <c r="I428" s="4" t="s">
        <v>5687</v>
      </c>
      <c r="J428" s="2">
        <v>34177</v>
      </c>
      <c r="K428" s="1" t="s">
        <v>19</v>
      </c>
      <c r="L428" s="1" t="s">
        <v>20</v>
      </c>
      <c r="M428" s="1" t="s">
        <v>2150</v>
      </c>
      <c r="N428" s="1" t="s">
        <v>2151</v>
      </c>
      <c r="O428" s="1" t="s">
        <v>23</v>
      </c>
      <c r="P428" s="1" t="s">
        <v>2152</v>
      </c>
      <c r="Q428" s="1">
        <f>31-615433624</f>
        <v>-615433593</v>
      </c>
      <c r="R428" s="1">
        <v>2011</v>
      </c>
      <c r="S428" s="1" t="s">
        <v>5235</v>
      </c>
    </row>
    <row r="429" spans="1:19" ht="15" customHeight="1" x14ac:dyDescent="0.25">
      <c r="A429" s="4" t="s">
        <v>15</v>
      </c>
      <c r="B429" s="1">
        <v>4300572</v>
      </c>
      <c r="C429" s="35" t="s">
        <v>6173</v>
      </c>
      <c r="D429" s="29" t="s">
        <v>2153</v>
      </c>
      <c r="E429" s="1" t="s">
        <v>2154</v>
      </c>
      <c r="F429" s="1" t="s">
        <v>68</v>
      </c>
      <c r="G429" s="4" t="s">
        <v>5607</v>
      </c>
      <c r="H429" s="4" t="s">
        <v>5718</v>
      </c>
      <c r="I429" s="4" t="s">
        <v>5687</v>
      </c>
      <c r="J429" s="2">
        <v>34877</v>
      </c>
      <c r="K429" s="1" t="s">
        <v>19</v>
      </c>
      <c r="L429" s="1" t="s">
        <v>20</v>
      </c>
      <c r="M429" s="1" t="s">
        <v>2155</v>
      </c>
      <c r="N429" s="1" t="s">
        <v>2156</v>
      </c>
      <c r="O429" s="1" t="s">
        <v>23</v>
      </c>
      <c r="P429" s="1" t="s">
        <v>2157</v>
      </c>
      <c r="Q429" s="1">
        <f>31-645921606</f>
        <v>-645921575</v>
      </c>
      <c r="R429" s="1">
        <v>2013</v>
      </c>
    </row>
    <row r="430" spans="1:19" ht="15" customHeight="1" x14ac:dyDescent="0.25">
      <c r="A430" s="4" t="s">
        <v>15</v>
      </c>
      <c r="B430" s="1">
        <v>4293118</v>
      </c>
      <c r="C430" s="35" t="s">
        <v>6174</v>
      </c>
      <c r="D430" s="29" t="s">
        <v>2158</v>
      </c>
      <c r="E430" s="1" t="s">
        <v>2159</v>
      </c>
      <c r="F430" s="1" t="s">
        <v>2160</v>
      </c>
      <c r="G430" s="4" t="s">
        <v>5607</v>
      </c>
      <c r="H430" s="4" t="s">
        <v>5718</v>
      </c>
      <c r="I430" s="4" t="s">
        <v>5687</v>
      </c>
      <c r="J430" s="2">
        <v>34766</v>
      </c>
      <c r="K430" s="1" t="s">
        <v>19</v>
      </c>
      <c r="L430" s="1" t="s">
        <v>20</v>
      </c>
      <c r="M430" s="1" t="s">
        <v>2161</v>
      </c>
      <c r="N430" s="1" t="s">
        <v>2162</v>
      </c>
      <c r="O430" s="1" t="s">
        <v>23</v>
      </c>
      <c r="P430" s="1" t="s">
        <v>2163</v>
      </c>
      <c r="Q430" s="1">
        <f>31-634541924</f>
        <v>-634541893</v>
      </c>
      <c r="R430" s="1">
        <v>2013</v>
      </c>
    </row>
    <row r="431" spans="1:19" ht="15" customHeight="1" x14ac:dyDescent="0.25">
      <c r="A431" s="4" t="s">
        <v>15</v>
      </c>
      <c r="B431" s="1">
        <v>4320921</v>
      </c>
      <c r="C431" s="35" t="s">
        <v>6175</v>
      </c>
      <c r="D431" s="29" t="s">
        <v>2164</v>
      </c>
      <c r="E431" s="1" t="s">
        <v>2165</v>
      </c>
      <c r="F431" s="1" t="s">
        <v>2166</v>
      </c>
      <c r="G431" s="4" t="s">
        <v>5607</v>
      </c>
      <c r="H431" s="4" t="s">
        <v>5718</v>
      </c>
      <c r="I431" s="4" t="s">
        <v>5687</v>
      </c>
      <c r="J431" s="2">
        <v>34612</v>
      </c>
      <c r="K431" s="1" t="s">
        <v>19</v>
      </c>
      <c r="L431" s="1" t="s">
        <v>20</v>
      </c>
      <c r="M431" s="1" t="s">
        <v>2167</v>
      </c>
      <c r="N431" s="1" t="s">
        <v>2168</v>
      </c>
      <c r="O431" s="1" t="s">
        <v>23</v>
      </c>
      <c r="P431" s="1" t="s">
        <v>2169</v>
      </c>
      <c r="Q431" s="1">
        <f>31-683235479</f>
        <v>-683235448</v>
      </c>
      <c r="R431" s="1">
        <v>2013</v>
      </c>
    </row>
    <row r="432" spans="1:19" ht="15" customHeight="1" x14ac:dyDescent="0.25">
      <c r="A432" s="4" t="s">
        <v>15</v>
      </c>
      <c r="B432" s="1">
        <v>4314689</v>
      </c>
      <c r="C432" s="35" t="s">
        <v>6176</v>
      </c>
      <c r="D432" s="29" t="s">
        <v>2175</v>
      </c>
      <c r="E432" s="1" t="s">
        <v>2176</v>
      </c>
      <c r="F432" s="1" t="s">
        <v>2177</v>
      </c>
      <c r="G432" s="4" t="s">
        <v>5607</v>
      </c>
      <c r="H432" s="4" t="s">
        <v>5718</v>
      </c>
      <c r="I432" s="4" t="s">
        <v>5687</v>
      </c>
      <c r="J432" s="2">
        <v>34582</v>
      </c>
      <c r="K432" s="1" t="s">
        <v>19</v>
      </c>
      <c r="L432" s="1" t="s">
        <v>111</v>
      </c>
      <c r="P432" s="1" t="s">
        <v>2178</v>
      </c>
      <c r="Q432" s="1">
        <v>681892389</v>
      </c>
      <c r="R432" s="1">
        <v>2013</v>
      </c>
      <c r="S432" s="1" t="s">
        <v>88</v>
      </c>
    </row>
    <row r="433" spans="1:19" ht="15" customHeight="1" x14ac:dyDescent="0.25">
      <c r="A433" s="4" t="s">
        <v>15</v>
      </c>
      <c r="B433" s="1">
        <v>4321235</v>
      </c>
      <c r="C433" s="35" t="s">
        <v>6177</v>
      </c>
      <c r="D433" s="29" t="s">
        <v>2170</v>
      </c>
      <c r="E433" s="1" t="s">
        <v>2171</v>
      </c>
      <c r="F433" s="1" t="s">
        <v>1776</v>
      </c>
      <c r="G433" s="4" t="s">
        <v>5607</v>
      </c>
      <c r="H433" s="4" t="s">
        <v>5718</v>
      </c>
      <c r="I433" s="4" t="s">
        <v>5687</v>
      </c>
      <c r="J433" s="2">
        <v>34027</v>
      </c>
      <c r="K433" s="1" t="s">
        <v>19</v>
      </c>
      <c r="L433" s="1" t="s">
        <v>20</v>
      </c>
      <c r="M433" s="1" t="s">
        <v>2172</v>
      </c>
      <c r="N433" s="1" t="s">
        <v>2173</v>
      </c>
      <c r="O433" s="1" t="s">
        <v>23</v>
      </c>
      <c r="P433" s="1" t="s">
        <v>2174</v>
      </c>
      <c r="Q433" s="1">
        <f>31-631998868</f>
        <v>-631998837</v>
      </c>
      <c r="R433" s="1">
        <v>2013</v>
      </c>
    </row>
    <row r="434" spans="1:19" ht="15" customHeight="1" x14ac:dyDescent="0.25">
      <c r="A434" s="4" t="s">
        <v>15</v>
      </c>
      <c r="B434" s="1">
        <v>4298284</v>
      </c>
      <c r="C434" s="35" t="s">
        <v>6178</v>
      </c>
      <c r="D434" s="29" t="s">
        <v>2179</v>
      </c>
      <c r="E434" s="1" t="s">
        <v>2180</v>
      </c>
      <c r="F434" s="1" t="s">
        <v>1146</v>
      </c>
      <c r="G434" s="4" t="s">
        <v>5608</v>
      </c>
      <c r="H434" s="4" t="s">
        <v>5718</v>
      </c>
      <c r="I434" s="4" t="s">
        <v>5687</v>
      </c>
      <c r="J434" s="2">
        <v>34775</v>
      </c>
      <c r="K434" s="1" t="s">
        <v>19</v>
      </c>
      <c r="L434" s="1" t="s">
        <v>20</v>
      </c>
      <c r="M434" s="1" t="s">
        <v>2181</v>
      </c>
      <c r="N434" s="1" t="s">
        <v>2182</v>
      </c>
      <c r="O434" s="1" t="s">
        <v>23</v>
      </c>
      <c r="P434" s="1" t="s">
        <v>2183</v>
      </c>
      <c r="Q434" s="1">
        <f>31-650746751</f>
        <v>-650746720</v>
      </c>
      <c r="R434" s="1">
        <v>2013</v>
      </c>
    </row>
    <row r="435" spans="1:19" ht="15" customHeight="1" x14ac:dyDescent="0.25">
      <c r="A435" s="4" t="s">
        <v>15</v>
      </c>
      <c r="B435" s="1">
        <v>4329716</v>
      </c>
      <c r="C435" s="35" t="s">
        <v>6179</v>
      </c>
      <c r="D435" s="29" t="s">
        <v>2184</v>
      </c>
      <c r="E435" s="1" t="s">
        <v>2185</v>
      </c>
      <c r="F435" s="1" t="s">
        <v>2186</v>
      </c>
      <c r="G435" s="4" t="s">
        <v>5608</v>
      </c>
      <c r="H435" s="4" t="s">
        <v>5718</v>
      </c>
      <c r="I435" s="4" t="s">
        <v>5687</v>
      </c>
      <c r="J435" s="2">
        <v>34828</v>
      </c>
      <c r="K435" s="1" t="s">
        <v>19</v>
      </c>
      <c r="L435" s="1" t="s">
        <v>20</v>
      </c>
      <c r="M435" s="1" t="s">
        <v>2187</v>
      </c>
      <c r="N435" s="1" t="s">
        <v>2188</v>
      </c>
      <c r="O435" s="1" t="s">
        <v>23</v>
      </c>
      <c r="P435" s="1" t="s">
        <v>2189</v>
      </c>
      <c r="Q435" s="1">
        <f>31-624989177</f>
        <v>-624989146</v>
      </c>
      <c r="R435" s="1">
        <v>2013</v>
      </c>
    </row>
    <row r="436" spans="1:19" ht="15" customHeight="1" x14ac:dyDescent="0.25">
      <c r="A436" s="4" t="s">
        <v>15</v>
      </c>
      <c r="B436" s="1">
        <v>4231821</v>
      </c>
      <c r="C436" s="35" t="s">
        <v>6180</v>
      </c>
      <c r="D436" s="29" t="s">
        <v>2190</v>
      </c>
      <c r="E436" s="1" t="s">
        <v>2191</v>
      </c>
      <c r="F436" s="1" t="s">
        <v>2192</v>
      </c>
      <c r="G436" s="4" t="s">
        <v>5608</v>
      </c>
      <c r="H436" s="4" t="s">
        <v>5718</v>
      </c>
      <c r="I436" s="4" t="s">
        <v>5687</v>
      </c>
      <c r="J436" s="2">
        <v>34570</v>
      </c>
      <c r="K436" s="1" t="s">
        <v>19</v>
      </c>
      <c r="L436" s="1" t="s">
        <v>20</v>
      </c>
      <c r="M436" s="1" t="s">
        <v>2193</v>
      </c>
      <c r="N436" s="1" t="s">
        <v>2194</v>
      </c>
      <c r="O436" s="1" t="s">
        <v>23</v>
      </c>
      <c r="P436" s="1" t="s">
        <v>2195</v>
      </c>
      <c r="R436" s="1">
        <v>2013</v>
      </c>
    </row>
    <row r="437" spans="1:19" ht="15" customHeight="1" x14ac:dyDescent="0.25">
      <c r="A437" s="4" t="s">
        <v>15</v>
      </c>
      <c r="B437" s="1">
        <v>4076893</v>
      </c>
      <c r="C437" s="35" t="s">
        <v>6181</v>
      </c>
      <c r="D437" s="29" t="s">
        <v>2196</v>
      </c>
      <c r="E437" s="1" t="s">
        <v>2197</v>
      </c>
      <c r="F437" s="1" t="s">
        <v>2198</v>
      </c>
      <c r="G437" s="4" t="s">
        <v>5608</v>
      </c>
      <c r="H437" s="4" t="s">
        <v>5718</v>
      </c>
      <c r="I437" s="4" t="s">
        <v>5687</v>
      </c>
      <c r="J437" s="2">
        <v>32511</v>
      </c>
      <c r="K437" s="1" t="s">
        <v>19</v>
      </c>
      <c r="L437" s="1" t="s">
        <v>20</v>
      </c>
      <c r="M437" s="1" t="s">
        <v>2199</v>
      </c>
      <c r="N437" s="1" t="s">
        <v>2200</v>
      </c>
      <c r="O437" s="1" t="s">
        <v>23</v>
      </c>
      <c r="P437" s="1" t="s">
        <v>2201</v>
      </c>
      <c r="Q437" s="1">
        <f>31-639892203</f>
        <v>-639892172</v>
      </c>
      <c r="R437" s="1">
        <v>2012</v>
      </c>
      <c r="S437" s="1" t="s">
        <v>88</v>
      </c>
    </row>
    <row r="438" spans="1:19" ht="15" customHeight="1" x14ac:dyDescent="0.25">
      <c r="A438" s="4" t="s">
        <v>15</v>
      </c>
      <c r="B438" s="1">
        <v>4249526</v>
      </c>
      <c r="C438" s="35" t="s">
        <v>6182</v>
      </c>
      <c r="D438" s="29" t="s">
        <v>2202</v>
      </c>
      <c r="E438" s="1" t="s">
        <v>2203</v>
      </c>
      <c r="F438" s="1" t="s">
        <v>2204</v>
      </c>
      <c r="G438" s="4" t="s">
        <v>5608</v>
      </c>
      <c r="H438" s="4" t="s">
        <v>5718</v>
      </c>
      <c r="I438" s="4" t="s">
        <v>5687</v>
      </c>
      <c r="J438" s="2">
        <v>34532</v>
      </c>
      <c r="K438" s="1" t="s">
        <v>19</v>
      </c>
      <c r="L438" s="1" t="s">
        <v>20</v>
      </c>
      <c r="M438" s="1" t="s">
        <v>2205</v>
      </c>
      <c r="N438" s="1" t="s">
        <v>2206</v>
      </c>
      <c r="O438" s="1" t="s">
        <v>23</v>
      </c>
      <c r="P438" s="1" t="s">
        <v>2207</v>
      </c>
      <c r="Q438" s="1">
        <f>31-637445422</f>
        <v>-637445391</v>
      </c>
      <c r="R438" s="1">
        <v>2012</v>
      </c>
      <c r="S438" s="1" t="s">
        <v>5230</v>
      </c>
    </row>
    <row r="439" spans="1:19" ht="15" customHeight="1" x14ac:dyDescent="0.25">
      <c r="A439" s="4" t="s">
        <v>15</v>
      </c>
      <c r="B439" s="1">
        <v>4286022</v>
      </c>
      <c r="C439" s="35" t="s">
        <v>6183</v>
      </c>
      <c r="D439" s="29" t="s">
        <v>2208</v>
      </c>
      <c r="E439" s="1" t="s">
        <v>2209</v>
      </c>
      <c r="F439" s="1" t="s">
        <v>366</v>
      </c>
      <c r="G439" s="4" t="s">
        <v>5608</v>
      </c>
      <c r="H439" s="4" t="s">
        <v>5718</v>
      </c>
      <c r="I439" s="4" t="s">
        <v>5687</v>
      </c>
      <c r="J439" s="2">
        <v>34256</v>
      </c>
      <c r="K439" s="1" t="s">
        <v>19</v>
      </c>
      <c r="L439" s="1" t="s">
        <v>20</v>
      </c>
      <c r="M439" s="1" t="s">
        <v>2210</v>
      </c>
      <c r="N439" s="1" t="s">
        <v>2211</v>
      </c>
      <c r="O439" s="1" t="s">
        <v>23</v>
      </c>
      <c r="P439" s="1" t="s">
        <v>2212</v>
      </c>
      <c r="Q439" s="1">
        <f>31-645717326</f>
        <v>-645717295</v>
      </c>
      <c r="R439" s="1">
        <v>2013</v>
      </c>
    </row>
    <row r="440" spans="1:19" ht="15" customHeight="1" x14ac:dyDescent="0.25">
      <c r="A440" s="4" t="s">
        <v>15</v>
      </c>
      <c r="B440" s="1">
        <v>4269993</v>
      </c>
      <c r="C440" s="35" t="s">
        <v>6184</v>
      </c>
      <c r="D440" s="29" t="s">
        <v>96</v>
      </c>
      <c r="E440" s="1" t="s">
        <v>2213</v>
      </c>
      <c r="F440" s="1" t="s">
        <v>2214</v>
      </c>
      <c r="G440" s="4" t="s">
        <v>5608</v>
      </c>
      <c r="H440" s="4" t="s">
        <v>5718</v>
      </c>
      <c r="I440" s="4" t="s">
        <v>5687</v>
      </c>
      <c r="J440" s="2">
        <v>34375</v>
      </c>
      <c r="K440" s="1" t="s">
        <v>19</v>
      </c>
      <c r="L440" s="1" t="s">
        <v>20</v>
      </c>
      <c r="M440" s="1" t="s">
        <v>2215</v>
      </c>
      <c r="N440" s="1" t="s">
        <v>2216</v>
      </c>
      <c r="O440" s="1" t="s">
        <v>2217</v>
      </c>
      <c r="P440" s="1" t="s">
        <v>2218</v>
      </c>
      <c r="R440" s="1">
        <v>2013</v>
      </c>
    </row>
    <row r="441" spans="1:19" ht="15" customHeight="1" x14ac:dyDescent="0.25">
      <c r="A441" s="4" t="s">
        <v>15</v>
      </c>
      <c r="B441" s="1">
        <v>4307208</v>
      </c>
      <c r="C441" s="35" t="s">
        <v>6185</v>
      </c>
      <c r="D441" s="29" t="s">
        <v>2219</v>
      </c>
      <c r="E441" s="1" t="s">
        <v>2220</v>
      </c>
      <c r="F441" s="1" t="s">
        <v>998</v>
      </c>
      <c r="G441" s="4" t="s">
        <v>5608</v>
      </c>
      <c r="H441" s="4" t="s">
        <v>5718</v>
      </c>
      <c r="I441" s="4" t="s">
        <v>5687</v>
      </c>
      <c r="J441" s="2">
        <v>34430</v>
      </c>
      <c r="K441" s="1" t="s">
        <v>19</v>
      </c>
      <c r="L441" s="1" t="s">
        <v>20</v>
      </c>
      <c r="M441" s="1" t="s">
        <v>2221</v>
      </c>
      <c r="N441" s="1" t="s">
        <v>2222</v>
      </c>
      <c r="O441" s="1" t="s">
        <v>23</v>
      </c>
      <c r="P441" s="1" t="s">
        <v>2223</v>
      </c>
      <c r="Q441" s="1">
        <f>31-650241873</f>
        <v>-650241842</v>
      </c>
      <c r="R441" s="1">
        <v>2013</v>
      </c>
    </row>
    <row r="442" spans="1:19" ht="15" customHeight="1" x14ac:dyDescent="0.25">
      <c r="A442" s="4" t="s">
        <v>15</v>
      </c>
      <c r="B442" s="1">
        <v>4312430</v>
      </c>
      <c r="C442" s="35" t="s">
        <v>6186</v>
      </c>
      <c r="D442" s="29" t="s">
        <v>2224</v>
      </c>
      <c r="E442" s="1" t="s">
        <v>2225</v>
      </c>
      <c r="F442" s="1" t="s">
        <v>2226</v>
      </c>
      <c r="G442" s="4" t="s">
        <v>5609</v>
      </c>
      <c r="H442" s="4" t="s">
        <v>5718</v>
      </c>
      <c r="I442" s="4" t="s">
        <v>5688</v>
      </c>
      <c r="J442" s="2">
        <v>34447</v>
      </c>
      <c r="K442" s="1" t="s">
        <v>19</v>
      </c>
      <c r="L442" s="1" t="s">
        <v>20</v>
      </c>
      <c r="M442" s="1" t="s">
        <v>2227</v>
      </c>
      <c r="N442" s="1" t="s">
        <v>2228</v>
      </c>
      <c r="O442" s="1" t="s">
        <v>23</v>
      </c>
      <c r="P442" s="1" t="s">
        <v>2229</v>
      </c>
      <c r="R442" s="1">
        <v>2013</v>
      </c>
    </row>
    <row r="443" spans="1:19" ht="15" customHeight="1" x14ac:dyDescent="0.25">
      <c r="A443" s="4" t="s">
        <v>15</v>
      </c>
      <c r="B443" s="1">
        <v>4313755</v>
      </c>
      <c r="C443" s="35" t="s">
        <v>6187</v>
      </c>
      <c r="D443" s="29" t="s">
        <v>2230</v>
      </c>
      <c r="E443" s="1" t="s">
        <v>2231</v>
      </c>
      <c r="F443" s="1" t="s">
        <v>2107</v>
      </c>
      <c r="G443" s="4" t="s">
        <v>5609</v>
      </c>
      <c r="H443" s="4" t="s">
        <v>5718</v>
      </c>
      <c r="I443" s="4" t="s">
        <v>5688</v>
      </c>
      <c r="J443" s="2">
        <v>34868</v>
      </c>
      <c r="K443" s="1" t="s">
        <v>19</v>
      </c>
      <c r="L443" s="1" t="s">
        <v>20</v>
      </c>
      <c r="M443" s="1" t="s">
        <v>2232</v>
      </c>
      <c r="N443" s="1" t="s">
        <v>2233</v>
      </c>
      <c r="O443" s="1" t="s">
        <v>23</v>
      </c>
      <c r="P443" s="1" t="s">
        <v>2234</v>
      </c>
      <c r="Q443" s="1">
        <f>31-620287135</f>
        <v>-620287104</v>
      </c>
      <c r="R443" s="1">
        <v>2013</v>
      </c>
    </row>
    <row r="444" spans="1:19" ht="15" customHeight="1" x14ac:dyDescent="0.25">
      <c r="A444" s="4" t="s">
        <v>15</v>
      </c>
      <c r="B444" s="1">
        <v>4293134</v>
      </c>
      <c r="C444" s="35" t="s">
        <v>6188</v>
      </c>
      <c r="D444" s="29" t="s">
        <v>2235</v>
      </c>
      <c r="E444" s="1" t="s">
        <v>2236</v>
      </c>
      <c r="F444" s="1" t="s">
        <v>2237</v>
      </c>
      <c r="G444" s="4" t="s">
        <v>5609</v>
      </c>
      <c r="H444" s="4" t="s">
        <v>5718</v>
      </c>
      <c r="I444" s="4" t="s">
        <v>5688</v>
      </c>
      <c r="J444" s="2">
        <v>32938</v>
      </c>
      <c r="K444" s="1" t="s">
        <v>19</v>
      </c>
      <c r="L444" s="1" t="s">
        <v>20</v>
      </c>
      <c r="M444" s="1" t="s">
        <v>2238</v>
      </c>
      <c r="N444" s="1" t="s">
        <v>2239</v>
      </c>
      <c r="O444" s="1" t="s">
        <v>23</v>
      </c>
      <c r="P444" s="1" t="s">
        <v>2240</v>
      </c>
      <c r="Q444" s="1">
        <f>31-644330049</f>
        <v>-644330018</v>
      </c>
      <c r="R444" s="1">
        <v>2013</v>
      </c>
    </row>
    <row r="445" spans="1:19" ht="15" customHeight="1" x14ac:dyDescent="0.25">
      <c r="A445" s="4" t="s">
        <v>15</v>
      </c>
      <c r="B445" s="1">
        <v>4301803</v>
      </c>
      <c r="C445" s="35" t="s">
        <v>6189</v>
      </c>
      <c r="D445" s="29" t="s">
        <v>2241</v>
      </c>
      <c r="E445" s="1" t="s">
        <v>2242</v>
      </c>
      <c r="F445" s="1" t="s">
        <v>1448</v>
      </c>
      <c r="G445" s="4" t="s">
        <v>5609</v>
      </c>
      <c r="H445" s="4" t="s">
        <v>5718</v>
      </c>
      <c r="I445" s="4" t="s">
        <v>5688</v>
      </c>
      <c r="J445" s="2">
        <v>34452</v>
      </c>
      <c r="K445" s="1" t="s">
        <v>19</v>
      </c>
      <c r="L445" s="1" t="s">
        <v>20</v>
      </c>
      <c r="M445" s="1" t="s">
        <v>2243</v>
      </c>
      <c r="N445" s="1" t="s">
        <v>2244</v>
      </c>
      <c r="O445" s="1" t="s">
        <v>23</v>
      </c>
      <c r="P445" s="1" t="s">
        <v>2245</v>
      </c>
      <c r="Q445" s="1">
        <f>31-630446226</f>
        <v>-630446195</v>
      </c>
      <c r="R445" s="1">
        <v>2013</v>
      </c>
    </row>
    <row r="446" spans="1:19" ht="15" customHeight="1" x14ac:dyDescent="0.25">
      <c r="A446" s="4" t="s">
        <v>15</v>
      </c>
      <c r="B446" s="1">
        <v>4304608</v>
      </c>
      <c r="C446" s="35" t="s">
        <v>6190</v>
      </c>
      <c r="D446" s="29" t="s">
        <v>2246</v>
      </c>
      <c r="E446" s="1" t="s">
        <v>2247</v>
      </c>
      <c r="F446" s="1" t="s">
        <v>976</v>
      </c>
      <c r="G446" s="4" t="s">
        <v>5609</v>
      </c>
      <c r="H446" s="4" t="s">
        <v>5718</v>
      </c>
      <c r="I446" s="4" t="s">
        <v>5688</v>
      </c>
      <c r="J446" s="2">
        <v>34586</v>
      </c>
      <c r="K446" s="1" t="s">
        <v>19</v>
      </c>
      <c r="L446" s="1" t="s">
        <v>20</v>
      </c>
      <c r="M446" s="1" t="s">
        <v>2248</v>
      </c>
      <c r="N446" s="1" t="s">
        <v>2249</v>
      </c>
      <c r="O446" s="1" t="s">
        <v>23</v>
      </c>
      <c r="P446" s="1" t="s">
        <v>2250</v>
      </c>
      <c r="Q446" s="1">
        <f>31-634643499</f>
        <v>-634643468</v>
      </c>
      <c r="R446" s="1">
        <v>2013</v>
      </c>
    </row>
    <row r="447" spans="1:19" ht="15" customHeight="1" x14ac:dyDescent="0.25">
      <c r="A447" s="4" t="s">
        <v>15</v>
      </c>
      <c r="B447" s="1">
        <v>4331540</v>
      </c>
      <c r="C447" s="35" t="s">
        <v>6191</v>
      </c>
      <c r="D447" s="29" t="s">
        <v>2251</v>
      </c>
      <c r="E447" s="1" t="s">
        <v>2252</v>
      </c>
      <c r="F447" s="1" t="s">
        <v>2253</v>
      </c>
      <c r="G447" s="4" t="s">
        <v>5609</v>
      </c>
      <c r="H447" s="4" t="s">
        <v>5718</v>
      </c>
      <c r="I447" s="4" t="s">
        <v>5688</v>
      </c>
      <c r="J447" s="2">
        <v>34832</v>
      </c>
      <c r="K447" s="1" t="s">
        <v>19</v>
      </c>
      <c r="L447" s="1" t="s">
        <v>20</v>
      </c>
      <c r="M447" s="1" t="s">
        <v>2254</v>
      </c>
      <c r="N447" s="1" t="s">
        <v>2255</v>
      </c>
      <c r="O447" s="1" t="s">
        <v>23</v>
      </c>
      <c r="P447" s="1" t="s">
        <v>2256</v>
      </c>
      <c r="R447" s="1">
        <v>2013</v>
      </c>
    </row>
    <row r="448" spans="1:19" ht="15" customHeight="1" x14ac:dyDescent="0.25">
      <c r="A448" s="4" t="s">
        <v>15</v>
      </c>
      <c r="B448" s="1">
        <v>4299175</v>
      </c>
      <c r="C448" s="35" t="s">
        <v>6192</v>
      </c>
      <c r="D448" s="29" t="s">
        <v>2257</v>
      </c>
      <c r="E448" s="1" t="s">
        <v>2258</v>
      </c>
      <c r="F448" s="1" t="s">
        <v>2259</v>
      </c>
      <c r="G448" s="4" t="s">
        <v>5609</v>
      </c>
      <c r="H448" s="4" t="s">
        <v>5718</v>
      </c>
      <c r="I448" s="4" t="s">
        <v>5688</v>
      </c>
      <c r="J448" s="2">
        <v>34897</v>
      </c>
      <c r="K448" s="1" t="s">
        <v>19</v>
      </c>
      <c r="L448" s="1" t="s">
        <v>20</v>
      </c>
      <c r="M448" s="1" t="s">
        <v>2260</v>
      </c>
      <c r="N448" s="1" t="s">
        <v>2261</v>
      </c>
      <c r="O448" s="1" t="s">
        <v>23</v>
      </c>
      <c r="P448" s="1" t="s">
        <v>2262</v>
      </c>
      <c r="Q448" s="1">
        <f>31-641776577</f>
        <v>-641776546</v>
      </c>
      <c r="R448" s="1">
        <v>2013</v>
      </c>
    </row>
    <row r="449" spans="1:19" ht="15" customHeight="1" x14ac:dyDescent="0.25">
      <c r="A449" s="4" t="s">
        <v>15</v>
      </c>
      <c r="B449" s="1">
        <v>4332741</v>
      </c>
      <c r="C449" s="35" t="s">
        <v>6193</v>
      </c>
      <c r="D449" s="29" t="s">
        <v>2263</v>
      </c>
      <c r="E449" s="1" t="s">
        <v>2264</v>
      </c>
      <c r="F449" s="1" t="s">
        <v>2265</v>
      </c>
      <c r="G449" s="4" t="s">
        <v>5609</v>
      </c>
      <c r="H449" s="4" t="s">
        <v>5718</v>
      </c>
      <c r="I449" s="4" t="s">
        <v>5688</v>
      </c>
      <c r="J449" s="2">
        <v>34189</v>
      </c>
      <c r="K449" s="1" t="s">
        <v>19</v>
      </c>
      <c r="L449" s="1" t="s">
        <v>20</v>
      </c>
      <c r="M449" s="1" t="s">
        <v>2266</v>
      </c>
      <c r="N449" s="1" t="s">
        <v>2267</v>
      </c>
      <c r="O449" s="1" t="s">
        <v>23</v>
      </c>
      <c r="P449" s="1" t="s">
        <v>2268</v>
      </c>
      <c r="Q449" s="1">
        <f>31-642037038</f>
        <v>-642037007</v>
      </c>
      <c r="R449" s="1">
        <v>2013</v>
      </c>
    </row>
    <row r="450" spans="1:19" ht="15" customHeight="1" x14ac:dyDescent="0.25">
      <c r="A450" s="4" t="s">
        <v>15</v>
      </c>
      <c r="B450" s="1">
        <v>4277465</v>
      </c>
      <c r="C450" s="35" t="s">
        <v>6194</v>
      </c>
      <c r="D450" s="29" t="s">
        <v>2269</v>
      </c>
      <c r="E450" s="1" t="s">
        <v>2270</v>
      </c>
      <c r="F450" s="1" t="s">
        <v>2271</v>
      </c>
      <c r="G450" s="4" t="s">
        <v>5610</v>
      </c>
      <c r="H450" s="4" t="s">
        <v>5718</v>
      </c>
      <c r="I450" s="4" t="s">
        <v>5688</v>
      </c>
      <c r="J450" s="2">
        <v>34405</v>
      </c>
      <c r="K450" s="1" t="s">
        <v>19</v>
      </c>
      <c r="L450" s="1" t="s">
        <v>20</v>
      </c>
      <c r="M450" s="1" t="s">
        <v>2272</v>
      </c>
      <c r="N450" s="1" t="s">
        <v>2273</v>
      </c>
      <c r="O450" s="1" t="s">
        <v>23</v>
      </c>
      <c r="P450" s="1" t="s">
        <v>2274</v>
      </c>
      <c r="Q450" s="1">
        <f>31-683214391</f>
        <v>-683214360</v>
      </c>
      <c r="R450" s="1">
        <v>2013</v>
      </c>
    </row>
    <row r="451" spans="1:19" ht="15" customHeight="1" x14ac:dyDescent="0.25">
      <c r="A451" s="4" t="s">
        <v>15</v>
      </c>
      <c r="B451" s="1">
        <v>4322568</v>
      </c>
      <c r="C451" s="35" t="s">
        <v>6195</v>
      </c>
      <c r="D451" s="29" t="s">
        <v>2275</v>
      </c>
      <c r="E451" s="1" t="s">
        <v>2276</v>
      </c>
      <c r="F451" s="1" t="s">
        <v>2277</v>
      </c>
      <c r="G451" s="4" t="s">
        <v>5610</v>
      </c>
      <c r="H451" s="4" t="s">
        <v>5718</v>
      </c>
      <c r="I451" s="4" t="s">
        <v>5688</v>
      </c>
      <c r="J451" s="2">
        <v>33959</v>
      </c>
      <c r="K451" s="1" t="s">
        <v>19</v>
      </c>
      <c r="L451" s="1" t="s">
        <v>20</v>
      </c>
      <c r="M451" s="1" t="s">
        <v>2278</v>
      </c>
      <c r="N451" s="1" t="s">
        <v>2279</v>
      </c>
      <c r="O451" s="1" t="s">
        <v>23</v>
      </c>
      <c r="P451" s="1" t="s">
        <v>2280</v>
      </c>
      <c r="Q451" s="1">
        <f>31-625404301</f>
        <v>-625404270</v>
      </c>
      <c r="R451" s="1">
        <v>2013</v>
      </c>
    </row>
    <row r="452" spans="1:19" ht="15" customHeight="1" x14ac:dyDescent="0.25">
      <c r="A452" s="4" t="s">
        <v>15</v>
      </c>
      <c r="B452" s="1">
        <v>4292081</v>
      </c>
      <c r="C452" s="35" t="s">
        <v>6196</v>
      </c>
      <c r="D452" s="29" t="s">
        <v>2281</v>
      </c>
      <c r="E452" s="1" t="s">
        <v>2282</v>
      </c>
      <c r="F452" s="1" t="s">
        <v>1417</v>
      </c>
      <c r="G452" s="4" t="s">
        <v>5610</v>
      </c>
      <c r="H452" s="4" t="s">
        <v>5718</v>
      </c>
      <c r="I452" s="4" t="s">
        <v>5688</v>
      </c>
      <c r="J452" s="2">
        <v>34723</v>
      </c>
      <c r="K452" s="1" t="s">
        <v>19</v>
      </c>
      <c r="L452" s="1" t="s">
        <v>20</v>
      </c>
      <c r="M452" s="1" t="s">
        <v>2283</v>
      </c>
      <c r="N452" s="1" t="s">
        <v>2284</v>
      </c>
      <c r="O452" s="1" t="s">
        <v>2285</v>
      </c>
      <c r="P452" s="1" t="s">
        <v>2286</v>
      </c>
      <c r="Q452" s="1">
        <f>44-7963206401</f>
        <v>-7963206357</v>
      </c>
      <c r="R452" s="1">
        <v>2013</v>
      </c>
    </row>
    <row r="453" spans="1:19" ht="15" customHeight="1" x14ac:dyDescent="0.25">
      <c r="A453" s="4" t="s">
        <v>15</v>
      </c>
      <c r="B453" s="1">
        <v>4324722</v>
      </c>
      <c r="C453" s="35" t="s">
        <v>6197</v>
      </c>
      <c r="D453" s="29" t="s">
        <v>2287</v>
      </c>
      <c r="E453" s="1" t="s">
        <v>2288</v>
      </c>
      <c r="F453" s="1" t="s">
        <v>591</v>
      </c>
      <c r="G453" s="4" t="s">
        <v>5610</v>
      </c>
      <c r="H453" s="4" t="s">
        <v>5718</v>
      </c>
      <c r="I453" s="4" t="s">
        <v>5688</v>
      </c>
      <c r="J453" s="2">
        <v>34368</v>
      </c>
      <c r="K453" s="1" t="s">
        <v>19</v>
      </c>
      <c r="L453" s="1" t="s">
        <v>20</v>
      </c>
      <c r="M453" s="1" t="s">
        <v>2289</v>
      </c>
      <c r="N453" s="1" t="s">
        <v>2290</v>
      </c>
      <c r="O453" s="1" t="s">
        <v>23</v>
      </c>
      <c r="P453" s="1" t="s">
        <v>2291</v>
      </c>
      <c r="Q453" s="1">
        <f>31-639461979</f>
        <v>-639461948</v>
      </c>
      <c r="R453" s="1">
        <v>2013</v>
      </c>
    </row>
    <row r="454" spans="1:19" ht="15" customHeight="1" x14ac:dyDescent="0.25">
      <c r="A454" s="4" t="s">
        <v>15</v>
      </c>
      <c r="B454" s="1">
        <v>4318595</v>
      </c>
      <c r="C454" s="35" t="s">
        <v>6198</v>
      </c>
      <c r="D454" s="29" t="s">
        <v>2292</v>
      </c>
      <c r="E454" s="1" t="s">
        <v>2293</v>
      </c>
      <c r="F454" s="1" t="s">
        <v>98</v>
      </c>
      <c r="G454" s="4" t="s">
        <v>5610</v>
      </c>
      <c r="H454" s="4" t="s">
        <v>5718</v>
      </c>
      <c r="I454" s="4" t="s">
        <v>5688</v>
      </c>
      <c r="J454" s="2">
        <v>34794</v>
      </c>
      <c r="K454" s="1" t="s">
        <v>19</v>
      </c>
      <c r="L454" s="1" t="s">
        <v>20</v>
      </c>
      <c r="M454" s="1" t="s">
        <v>2294</v>
      </c>
      <c r="N454" s="1" t="s">
        <v>2295</v>
      </c>
      <c r="O454" s="1" t="s">
        <v>23</v>
      </c>
      <c r="P454" s="1" t="s">
        <v>2296</v>
      </c>
      <c r="Q454" s="1">
        <f>31-641785529</f>
        <v>-641785498</v>
      </c>
      <c r="R454" s="1">
        <v>2013</v>
      </c>
    </row>
    <row r="455" spans="1:19" ht="15" customHeight="1" x14ac:dyDescent="0.25">
      <c r="A455" s="4" t="s">
        <v>15</v>
      </c>
      <c r="B455" s="1">
        <v>4312317</v>
      </c>
      <c r="C455" s="35" t="s">
        <v>6199</v>
      </c>
      <c r="D455" s="29" t="s">
        <v>2297</v>
      </c>
      <c r="E455" s="1" t="s">
        <v>2298</v>
      </c>
      <c r="F455" s="1" t="s">
        <v>2259</v>
      </c>
      <c r="G455" s="4" t="s">
        <v>5610</v>
      </c>
      <c r="H455" s="4" t="s">
        <v>5718</v>
      </c>
      <c r="I455" s="4" t="s">
        <v>5688</v>
      </c>
      <c r="J455" s="2">
        <v>34964</v>
      </c>
      <c r="K455" s="1" t="s">
        <v>19</v>
      </c>
      <c r="L455" s="1" t="s">
        <v>20</v>
      </c>
      <c r="M455" s="1" t="s">
        <v>2299</v>
      </c>
      <c r="N455" s="1" t="s">
        <v>2300</v>
      </c>
      <c r="O455" s="1" t="s">
        <v>23</v>
      </c>
      <c r="P455" s="1" t="s">
        <v>2301</v>
      </c>
      <c r="Q455" s="1">
        <f>31-652250483</f>
        <v>-652250452</v>
      </c>
      <c r="R455" s="1">
        <v>2013</v>
      </c>
    </row>
    <row r="456" spans="1:19" ht="15" customHeight="1" x14ac:dyDescent="0.25">
      <c r="A456" s="4" t="s">
        <v>15</v>
      </c>
      <c r="B456" s="1">
        <v>4218590</v>
      </c>
      <c r="C456" s="35" t="s">
        <v>6200</v>
      </c>
      <c r="D456" s="29" t="s">
        <v>2302</v>
      </c>
      <c r="E456" s="1" t="s">
        <v>2303</v>
      </c>
      <c r="F456" s="1" t="s">
        <v>1236</v>
      </c>
      <c r="G456" s="4" t="s">
        <v>5610</v>
      </c>
      <c r="H456" s="4" t="s">
        <v>5718</v>
      </c>
      <c r="I456" s="4" t="s">
        <v>5688</v>
      </c>
      <c r="J456" s="2">
        <v>34451</v>
      </c>
      <c r="K456" s="1" t="s">
        <v>19</v>
      </c>
      <c r="L456" s="1" t="s">
        <v>20</v>
      </c>
      <c r="M456" s="1" t="s">
        <v>2304</v>
      </c>
      <c r="N456" s="1" t="s">
        <v>2305</v>
      </c>
      <c r="O456" s="1" t="s">
        <v>23</v>
      </c>
      <c r="P456" s="1" t="s">
        <v>2306</v>
      </c>
      <c r="Q456" s="1">
        <f>31-642904250</f>
        <v>-642904219</v>
      </c>
      <c r="R456" s="1">
        <v>2012</v>
      </c>
      <c r="S456" s="1" t="s">
        <v>115</v>
      </c>
    </row>
    <row r="457" spans="1:19" ht="15" customHeight="1" x14ac:dyDescent="0.25">
      <c r="A457" s="4" t="s">
        <v>15</v>
      </c>
      <c r="B457" s="1">
        <v>4330420</v>
      </c>
      <c r="C457" s="35" t="s">
        <v>6201</v>
      </c>
      <c r="D457" s="29" t="s">
        <v>2307</v>
      </c>
      <c r="E457" s="1" t="s">
        <v>2308</v>
      </c>
      <c r="F457" s="1" t="s">
        <v>900</v>
      </c>
      <c r="G457" s="4" t="s">
        <v>5610</v>
      </c>
      <c r="H457" s="4" t="s">
        <v>5718</v>
      </c>
      <c r="I457" s="4" t="s">
        <v>5688</v>
      </c>
      <c r="J457" s="2">
        <v>34892</v>
      </c>
      <c r="K457" s="1" t="s">
        <v>19</v>
      </c>
      <c r="L457" s="1" t="s">
        <v>20</v>
      </c>
      <c r="M457" s="1" t="s">
        <v>2309</v>
      </c>
      <c r="N457" s="1" t="s">
        <v>2310</v>
      </c>
      <c r="O457" s="1" t="s">
        <v>23</v>
      </c>
      <c r="P457" s="1" t="s">
        <v>2311</v>
      </c>
      <c r="Q457" s="1">
        <f>31-645315188</f>
        <v>-645315157</v>
      </c>
      <c r="R457" s="1">
        <v>2013</v>
      </c>
    </row>
    <row r="458" spans="1:19" ht="15" customHeight="1" x14ac:dyDescent="0.25">
      <c r="A458" s="4" t="s">
        <v>15</v>
      </c>
      <c r="B458" s="1">
        <v>4292626</v>
      </c>
      <c r="C458" s="35" t="s">
        <v>6202</v>
      </c>
      <c r="D458" s="29" t="s">
        <v>207</v>
      </c>
      <c r="E458" s="1" t="s">
        <v>2312</v>
      </c>
      <c r="F458" s="1" t="s">
        <v>2313</v>
      </c>
      <c r="G458" s="4" t="s">
        <v>5611</v>
      </c>
      <c r="H458" s="4" t="s">
        <v>5719</v>
      </c>
      <c r="I458" s="4" t="s">
        <v>5689</v>
      </c>
      <c r="J458" s="2">
        <v>34619</v>
      </c>
      <c r="K458" s="1" t="s">
        <v>19</v>
      </c>
      <c r="L458" s="1" t="s">
        <v>20</v>
      </c>
      <c r="M458" s="1" t="s">
        <v>2314</v>
      </c>
      <c r="N458" s="1" t="s">
        <v>2315</v>
      </c>
      <c r="O458" s="1" t="s">
        <v>23</v>
      </c>
      <c r="P458" s="1" t="s">
        <v>2316</v>
      </c>
      <c r="Q458" s="1">
        <f>31-641227985</f>
        <v>-641227954</v>
      </c>
      <c r="R458" s="1">
        <v>2013</v>
      </c>
    </row>
    <row r="459" spans="1:19" ht="15" customHeight="1" x14ac:dyDescent="0.25">
      <c r="A459" s="4" t="s">
        <v>15</v>
      </c>
      <c r="B459" s="1">
        <v>4257669</v>
      </c>
      <c r="C459" s="1" t="s">
        <v>6531</v>
      </c>
      <c r="D459" s="35" t="s">
        <v>6530</v>
      </c>
      <c r="E459" s="1" t="s">
        <v>6532</v>
      </c>
      <c r="F459" s="1" t="s">
        <v>6533</v>
      </c>
      <c r="G459" s="34" t="s">
        <v>5611</v>
      </c>
      <c r="H459" s="4" t="s">
        <v>5719</v>
      </c>
      <c r="I459" s="4" t="s">
        <v>5689</v>
      </c>
      <c r="J459" s="2">
        <v>34943</v>
      </c>
      <c r="K459" s="1" t="s">
        <v>19</v>
      </c>
      <c r="L459" s="1" t="s">
        <v>20</v>
      </c>
      <c r="M459" s="1" t="s">
        <v>2325</v>
      </c>
      <c r="N459" s="1" t="s">
        <v>2326</v>
      </c>
      <c r="O459" s="1" t="s">
        <v>23</v>
      </c>
      <c r="P459" s="1" t="s">
        <v>2327</v>
      </c>
      <c r="Q459" s="1">
        <f>31-627440381</f>
        <v>-627440350</v>
      </c>
      <c r="R459" s="1">
        <v>2013</v>
      </c>
      <c r="S459" s="1" t="s">
        <v>6534</v>
      </c>
    </row>
    <row r="460" spans="1:19" ht="15" customHeight="1" x14ac:dyDescent="0.25">
      <c r="A460" s="4" t="s">
        <v>15</v>
      </c>
      <c r="B460" s="1">
        <v>4324811</v>
      </c>
      <c r="C460" s="35" t="s">
        <v>6203</v>
      </c>
      <c r="D460" s="29" t="s">
        <v>2317</v>
      </c>
      <c r="E460" s="1" t="s">
        <v>2318</v>
      </c>
      <c r="F460" s="1" t="s">
        <v>2319</v>
      </c>
      <c r="G460" s="4" t="s">
        <v>5611</v>
      </c>
      <c r="H460" s="4" t="s">
        <v>5719</v>
      </c>
      <c r="I460" s="4" t="s">
        <v>5689</v>
      </c>
      <c r="J460" s="2">
        <v>34906</v>
      </c>
      <c r="K460" s="1" t="s">
        <v>19</v>
      </c>
      <c r="L460" s="1" t="s">
        <v>20</v>
      </c>
      <c r="M460" s="1" t="s">
        <v>2320</v>
      </c>
      <c r="N460" s="1" t="s">
        <v>2321</v>
      </c>
      <c r="O460" s="1" t="s">
        <v>23</v>
      </c>
      <c r="P460" s="1" t="s">
        <v>2322</v>
      </c>
      <c r="Q460" s="1">
        <f>31-612317540</f>
        <v>-612317509</v>
      </c>
      <c r="R460" s="1">
        <v>2013</v>
      </c>
    </row>
    <row r="461" spans="1:19" ht="15" customHeight="1" x14ac:dyDescent="0.25">
      <c r="A461" s="34" t="s">
        <v>15</v>
      </c>
      <c r="B461" s="1">
        <v>4294424</v>
      </c>
      <c r="C461" s="35" t="s">
        <v>6204</v>
      </c>
      <c r="D461" s="29" t="s">
        <v>2323</v>
      </c>
      <c r="E461" s="1" t="s">
        <v>2324</v>
      </c>
      <c r="F461" s="1" t="s">
        <v>483</v>
      </c>
      <c r="G461" s="34" t="s">
        <v>5611</v>
      </c>
      <c r="H461" s="34" t="s">
        <v>5719</v>
      </c>
      <c r="I461" s="34" t="s">
        <v>5689</v>
      </c>
      <c r="J461" s="2">
        <v>34943</v>
      </c>
      <c r="K461" s="1" t="s">
        <v>19</v>
      </c>
      <c r="L461" s="1" t="s">
        <v>20</v>
      </c>
      <c r="M461" s="1" t="s">
        <v>2325</v>
      </c>
      <c r="N461" s="1" t="s">
        <v>2326</v>
      </c>
      <c r="O461" s="1" t="s">
        <v>23</v>
      </c>
      <c r="P461" s="1" t="s">
        <v>2327</v>
      </c>
      <c r="Q461" s="1">
        <f>31-627440381</f>
        <v>-627440350</v>
      </c>
      <c r="R461" s="1">
        <v>2013</v>
      </c>
    </row>
    <row r="462" spans="1:19" ht="15" customHeight="1" x14ac:dyDescent="0.25">
      <c r="A462" s="34" t="s">
        <v>15</v>
      </c>
      <c r="B462" s="1">
        <v>4247175</v>
      </c>
      <c r="C462" s="35" t="s">
        <v>6205</v>
      </c>
      <c r="D462" s="29" t="s">
        <v>2328</v>
      </c>
      <c r="E462" s="1" t="s">
        <v>2329</v>
      </c>
      <c r="F462" s="1" t="s">
        <v>348</v>
      </c>
      <c r="G462" s="34" t="s">
        <v>5611</v>
      </c>
      <c r="H462" s="34" t="s">
        <v>5719</v>
      </c>
      <c r="I462" s="34" t="s">
        <v>5689</v>
      </c>
      <c r="J462" s="2">
        <v>34606</v>
      </c>
      <c r="K462" s="1" t="s">
        <v>19</v>
      </c>
      <c r="L462" s="1" t="s">
        <v>20</v>
      </c>
      <c r="M462" s="1" t="s">
        <v>2330</v>
      </c>
      <c r="N462" s="1" t="s">
        <v>2331</v>
      </c>
      <c r="O462" s="1" t="s">
        <v>23</v>
      </c>
      <c r="P462" s="1" t="s">
        <v>2332</v>
      </c>
      <c r="Q462" s="1">
        <f>31-615227368</f>
        <v>-615227337</v>
      </c>
      <c r="R462" s="1">
        <v>2012</v>
      </c>
      <c r="S462" s="1" t="s">
        <v>115</v>
      </c>
    </row>
    <row r="463" spans="1:19" ht="15" customHeight="1" x14ac:dyDescent="0.25">
      <c r="A463" s="4" t="s">
        <v>15</v>
      </c>
      <c r="B463" s="1">
        <v>4237730</v>
      </c>
      <c r="C463" s="35" t="s">
        <v>6208</v>
      </c>
      <c r="D463" s="29" t="s">
        <v>2338</v>
      </c>
      <c r="E463" s="1" t="s">
        <v>2339</v>
      </c>
      <c r="F463" s="1" t="s">
        <v>2340</v>
      </c>
      <c r="G463" s="4" t="s">
        <v>5611</v>
      </c>
      <c r="H463" s="4" t="s">
        <v>5719</v>
      </c>
      <c r="I463" s="4" t="s">
        <v>5689</v>
      </c>
      <c r="J463" s="2">
        <v>34375</v>
      </c>
      <c r="K463" s="1" t="s">
        <v>19</v>
      </c>
      <c r="L463" s="1" t="s">
        <v>20</v>
      </c>
      <c r="M463" s="1" t="s">
        <v>2341</v>
      </c>
      <c r="N463" s="1" t="s">
        <v>2342</v>
      </c>
      <c r="O463" s="1" t="s">
        <v>23</v>
      </c>
      <c r="P463" s="1" t="s">
        <v>2343</v>
      </c>
      <c r="Q463" s="1">
        <f>31-612722171</f>
        <v>-612722140</v>
      </c>
      <c r="R463" s="1">
        <v>2012</v>
      </c>
      <c r="S463" s="1" t="s">
        <v>5232</v>
      </c>
    </row>
    <row r="464" spans="1:19" ht="15" customHeight="1" x14ac:dyDescent="0.25">
      <c r="A464" s="4" t="s">
        <v>15</v>
      </c>
      <c r="B464" s="1">
        <v>4294335</v>
      </c>
      <c r="C464" s="35" t="s">
        <v>6541</v>
      </c>
      <c r="D464" s="29" t="s">
        <v>6542</v>
      </c>
      <c r="E464" s="1" t="s">
        <v>6543</v>
      </c>
      <c r="F464" s="1" t="s">
        <v>6544</v>
      </c>
      <c r="G464" s="4" t="s">
        <v>5611</v>
      </c>
      <c r="H464" s="34" t="s">
        <v>5719</v>
      </c>
      <c r="I464" s="34" t="s">
        <v>5689</v>
      </c>
      <c r="J464" s="2"/>
      <c r="L464" s="1" t="s">
        <v>20</v>
      </c>
      <c r="R464" s="1">
        <v>2013</v>
      </c>
      <c r="S464" s="1" t="s">
        <v>5230</v>
      </c>
    </row>
    <row r="465" spans="1:19" ht="15" customHeight="1" x14ac:dyDescent="0.25">
      <c r="A465" s="4" t="s">
        <v>15</v>
      </c>
      <c r="B465" s="1">
        <v>4260740</v>
      </c>
      <c r="C465" s="35" t="s">
        <v>6209</v>
      </c>
      <c r="D465" s="29" t="s">
        <v>2350</v>
      </c>
      <c r="E465" s="1" t="s">
        <v>2351</v>
      </c>
      <c r="F465" s="1" t="s">
        <v>2352</v>
      </c>
      <c r="G465" s="4" t="s">
        <v>5611</v>
      </c>
      <c r="H465" s="4" t="s">
        <v>5719</v>
      </c>
      <c r="I465" s="4" t="s">
        <v>5689</v>
      </c>
      <c r="J465" s="2">
        <v>33565</v>
      </c>
      <c r="K465" s="1" t="s">
        <v>19</v>
      </c>
      <c r="L465" s="1" t="s">
        <v>111</v>
      </c>
      <c r="M465" s="1" t="s">
        <v>2353</v>
      </c>
      <c r="N465" s="1" t="s">
        <v>2354</v>
      </c>
      <c r="O465" s="1" t="s">
        <v>23</v>
      </c>
      <c r="P465" s="1" t="s">
        <v>2355</v>
      </c>
      <c r="Q465" s="1">
        <f>31-654921120</f>
        <v>-654921089</v>
      </c>
      <c r="R465" s="1">
        <v>2012</v>
      </c>
      <c r="S465" s="1" t="s">
        <v>5232</v>
      </c>
    </row>
    <row r="466" spans="1:19" ht="15" customHeight="1" x14ac:dyDescent="0.25">
      <c r="A466" s="4" t="s">
        <v>15</v>
      </c>
      <c r="B466" s="1">
        <v>4102894</v>
      </c>
      <c r="C466" s="35" t="s">
        <v>6210</v>
      </c>
      <c r="D466" s="29" t="s">
        <v>5243</v>
      </c>
      <c r="E466" s="1" t="s">
        <v>5244</v>
      </c>
      <c r="F466" s="1" t="s">
        <v>5245</v>
      </c>
      <c r="G466" s="4" t="s">
        <v>5612</v>
      </c>
      <c r="H466" s="4" t="s">
        <v>5719</v>
      </c>
      <c r="I466" s="4" t="s">
        <v>5689</v>
      </c>
      <c r="J466" s="2"/>
      <c r="K466" s="1" t="s">
        <v>19</v>
      </c>
      <c r="L466" s="1" t="s">
        <v>111</v>
      </c>
      <c r="R466" s="1">
        <v>2013</v>
      </c>
      <c r="S466" s="1" t="s">
        <v>5238</v>
      </c>
    </row>
    <row r="467" spans="1:19" ht="15" customHeight="1" x14ac:dyDescent="0.25">
      <c r="A467" s="4" t="s">
        <v>15</v>
      </c>
      <c r="B467" s="1">
        <v>4295773</v>
      </c>
      <c r="C467" s="35" t="s">
        <v>5873</v>
      </c>
      <c r="D467" s="29" t="s">
        <v>3528</v>
      </c>
      <c r="E467" s="1" t="s">
        <v>3529</v>
      </c>
      <c r="F467" s="1" t="s">
        <v>242</v>
      </c>
      <c r="G467" s="4" t="s">
        <v>5612</v>
      </c>
      <c r="H467" s="4" t="s">
        <v>5719</v>
      </c>
      <c r="I467" s="4" t="s">
        <v>5689</v>
      </c>
      <c r="J467" s="2">
        <v>34708</v>
      </c>
      <c r="K467" s="1" t="s">
        <v>19</v>
      </c>
      <c r="L467" s="1" t="s">
        <v>20</v>
      </c>
      <c r="M467" s="1" t="s">
        <v>3530</v>
      </c>
      <c r="N467" s="1" t="s">
        <v>3531</v>
      </c>
      <c r="O467" s="1" t="s">
        <v>23</v>
      </c>
      <c r="P467" s="1" t="s">
        <v>3532</v>
      </c>
      <c r="Q467" s="1">
        <f>31-629238654</f>
        <v>-629238623</v>
      </c>
      <c r="R467" s="1">
        <v>2013</v>
      </c>
    </row>
    <row r="468" spans="1:19" ht="15" customHeight="1" x14ac:dyDescent="0.25">
      <c r="A468" s="4" t="s">
        <v>15</v>
      </c>
      <c r="B468" s="1">
        <v>4223535</v>
      </c>
      <c r="C468" s="35" t="s">
        <v>6211</v>
      </c>
      <c r="D468" s="29" t="s">
        <v>2356</v>
      </c>
      <c r="E468" s="1" t="s">
        <v>2357</v>
      </c>
      <c r="F468" s="1" t="s">
        <v>2358</v>
      </c>
      <c r="G468" s="4" t="s">
        <v>5612</v>
      </c>
      <c r="H468" s="4" t="s">
        <v>5719</v>
      </c>
      <c r="I468" s="4" t="s">
        <v>5689</v>
      </c>
      <c r="J468" s="2">
        <v>34138</v>
      </c>
      <c r="K468" s="1" t="s">
        <v>19</v>
      </c>
      <c r="L468" s="1" t="s">
        <v>20</v>
      </c>
      <c r="M468" s="1" t="s">
        <v>2359</v>
      </c>
      <c r="N468" s="1" t="s">
        <v>2360</v>
      </c>
      <c r="O468" s="1" t="s">
        <v>23</v>
      </c>
      <c r="P468" s="1" t="s">
        <v>2361</v>
      </c>
      <c r="Q468" s="1">
        <f>31-631168668</f>
        <v>-631168637</v>
      </c>
      <c r="R468" s="1">
        <v>2013</v>
      </c>
    </row>
    <row r="469" spans="1:19" ht="15" customHeight="1" x14ac:dyDescent="0.25">
      <c r="A469" s="34" t="s">
        <v>15</v>
      </c>
      <c r="B469" s="1">
        <v>4205804</v>
      </c>
      <c r="C469" s="35" t="s">
        <v>6212</v>
      </c>
      <c r="D469" s="29" t="s">
        <v>2362</v>
      </c>
      <c r="E469" s="1" t="s">
        <v>2363</v>
      </c>
      <c r="F469" s="1" t="s">
        <v>2364</v>
      </c>
      <c r="G469" s="34" t="s">
        <v>5612</v>
      </c>
      <c r="H469" s="34" t="s">
        <v>5719</v>
      </c>
      <c r="I469" s="34" t="s">
        <v>5689</v>
      </c>
      <c r="J469" s="2">
        <v>34159</v>
      </c>
      <c r="K469" s="1" t="s">
        <v>19</v>
      </c>
      <c r="L469" s="1" t="s">
        <v>20</v>
      </c>
      <c r="M469" s="1" t="s">
        <v>2365</v>
      </c>
      <c r="N469" s="1" t="s">
        <v>2366</v>
      </c>
      <c r="O469" s="1" t="s">
        <v>23</v>
      </c>
      <c r="P469" s="1" t="s">
        <v>2367</v>
      </c>
      <c r="Q469" s="1">
        <f>31-628490956</f>
        <v>-628490925</v>
      </c>
      <c r="R469" s="1">
        <v>2012</v>
      </c>
      <c r="S469" s="1" t="s">
        <v>5232</v>
      </c>
    </row>
    <row r="470" spans="1:19" ht="15" customHeight="1" x14ac:dyDescent="0.25">
      <c r="A470" s="4" t="s">
        <v>15</v>
      </c>
      <c r="B470" s="1">
        <v>4314247</v>
      </c>
      <c r="C470" s="35" t="s">
        <v>6213</v>
      </c>
      <c r="D470" s="29" t="s">
        <v>2368</v>
      </c>
      <c r="E470" s="1" t="s">
        <v>2369</v>
      </c>
      <c r="F470" s="1" t="s">
        <v>173</v>
      </c>
      <c r="G470" s="4" t="s">
        <v>5612</v>
      </c>
      <c r="H470" s="4" t="s">
        <v>5719</v>
      </c>
      <c r="I470" s="4" t="s">
        <v>5689</v>
      </c>
      <c r="J470" s="2">
        <v>34567</v>
      </c>
      <c r="K470" s="1" t="s">
        <v>19</v>
      </c>
      <c r="L470" s="1" t="s">
        <v>20</v>
      </c>
      <c r="M470" s="1" t="s">
        <v>2370</v>
      </c>
      <c r="N470" s="1" t="s">
        <v>2371</v>
      </c>
      <c r="O470" s="1" t="s">
        <v>23</v>
      </c>
      <c r="P470" s="1" t="s">
        <v>2372</v>
      </c>
      <c r="Q470" s="1">
        <f>31-630151015</f>
        <v>-630150984</v>
      </c>
      <c r="R470" s="1">
        <v>2013</v>
      </c>
    </row>
    <row r="471" spans="1:19" ht="15" customHeight="1" x14ac:dyDescent="0.25">
      <c r="A471" s="4" t="s">
        <v>15</v>
      </c>
      <c r="B471" s="1">
        <v>4308069</v>
      </c>
      <c r="C471" s="35" t="s">
        <v>6214</v>
      </c>
      <c r="D471" s="29" t="s">
        <v>849</v>
      </c>
      <c r="E471" s="1" t="s">
        <v>2373</v>
      </c>
      <c r="F471" s="1" t="s">
        <v>2374</v>
      </c>
      <c r="G471" s="4" t="s">
        <v>5612</v>
      </c>
      <c r="H471" s="4" t="s">
        <v>5719</v>
      </c>
      <c r="I471" s="4" t="s">
        <v>5689</v>
      </c>
      <c r="J471" s="2">
        <v>34419</v>
      </c>
      <c r="K471" s="1" t="s">
        <v>19</v>
      </c>
      <c r="L471" s="1" t="s">
        <v>20</v>
      </c>
      <c r="M471" s="1" t="s">
        <v>2375</v>
      </c>
      <c r="N471" s="1" t="s">
        <v>2376</v>
      </c>
      <c r="O471" s="1" t="s">
        <v>23</v>
      </c>
      <c r="P471" s="1" t="s">
        <v>2377</v>
      </c>
      <c r="R471" s="1">
        <v>2013</v>
      </c>
    </row>
    <row r="472" spans="1:19" ht="15" customHeight="1" x14ac:dyDescent="0.25">
      <c r="A472" s="4" t="s">
        <v>15</v>
      </c>
      <c r="B472" s="1">
        <v>4312643</v>
      </c>
      <c r="C472" s="1" t="s">
        <v>6518</v>
      </c>
      <c r="D472" s="1" t="s">
        <v>4429</v>
      </c>
      <c r="E472" s="1" t="s">
        <v>4430</v>
      </c>
      <c r="F472" s="1" t="s">
        <v>4431</v>
      </c>
      <c r="G472" s="4" t="s">
        <v>5612</v>
      </c>
      <c r="H472" s="4" t="s">
        <v>5719</v>
      </c>
      <c r="I472" s="4" t="s">
        <v>5689</v>
      </c>
      <c r="J472" s="2">
        <v>35279</v>
      </c>
      <c r="K472" s="1" t="s">
        <v>19</v>
      </c>
      <c r="L472" s="1" t="s">
        <v>20</v>
      </c>
      <c r="M472" s="1" t="s">
        <v>4432</v>
      </c>
      <c r="N472" s="1" t="s">
        <v>4433</v>
      </c>
      <c r="O472" s="1" t="s">
        <v>23</v>
      </c>
      <c r="P472" s="1" t="s">
        <v>4434</v>
      </c>
      <c r="Q472" s="1">
        <f>31-654290941</f>
        <v>-654290910</v>
      </c>
      <c r="R472" s="1">
        <v>2013</v>
      </c>
    </row>
    <row r="473" spans="1:19" ht="15" customHeight="1" x14ac:dyDescent="0.25">
      <c r="A473" s="4" t="s">
        <v>15</v>
      </c>
      <c r="B473" s="1">
        <v>4215702</v>
      </c>
      <c r="C473" s="35" t="s">
        <v>6215</v>
      </c>
      <c r="D473" s="29" t="s">
        <v>2378</v>
      </c>
      <c r="E473" s="1" t="s">
        <v>2379</v>
      </c>
      <c r="F473" s="1" t="s">
        <v>637</v>
      </c>
      <c r="G473" s="4" t="s">
        <v>5612</v>
      </c>
      <c r="H473" s="4" t="s">
        <v>5719</v>
      </c>
      <c r="I473" s="4" t="s">
        <v>5689</v>
      </c>
      <c r="J473" s="2">
        <v>34460</v>
      </c>
      <c r="K473" s="1" t="s">
        <v>19</v>
      </c>
      <c r="L473" s="1" t="s">
        <v>20</v>
      </c>
      <c r="M473" s="1" t="s">
        <v>2380</v>
      </c>
      <c r="N473" s="1" t="s">
        <v>2381</v>
      </c>
      <c r="O473" s="1" t="s">
        <v>23</v>
      </c>
      <c r="P473" s="1" t="s">
        <v>2382</v>
      </c>
      <c r="Q473" s="1">
        <f>31-650881271</f>
        <v>-650881240</v>
      </c>
      <c r="R473" s="1">
        <v>2012</v>
      </c>
      <c r="S473" s="1" t="s">
        <v>5236</v>
      </c>
    </row>
    <row r="474" spans="1:19" ht="15" customHeight="1" x14ac:dyDescent="0.25">
      <c r="A474" s="4" t="s">
        <v>15</v>
      </c>
      <c r="B474" s="1">
        <v>4293231</v>
      </c>
      <c r="C474" s="35" t="s">
        <v>6216</v>
      </c>
      <c r="D474" s="29" t="s">
        <v>2383</v>
      </c>
      <c r="E474" s="1" t="s">
        <v>2384</v>
      </c>
      <c r="F474" s="1" t="s">
        <v>18</v>
      </c>
      <c r="G474" s="4" t="s">
        <v>5612</v>
      </c>
      <c r="H474" s="4" t="s">
        <v>5719</v>
      </c>
      <c r="I474" s="4" t="s">
        <v>5689</v>
      </c>
      <c r="J474" s="2">
        <v>34120</v>
      </c>
      <c r="K474" s="1" t="s">
        <v>19</v>
      </c>
      <c r="L474" s="1" t="s">
        <v>20</v>
      </c>
      <c r="M474" s="1" t="s">
        <v>2385</v>
      </c>
      <c r="N474" s="1" t="s">
        <v>2386</v>
      </c>
      <c r="O474" s="1" t="s">
        <v>23</v>
      </c>
      <c r="P474" s="1" t="s">
        <v>2387</v>
      </c>
      <c r="Q474" s="1">
        <f>31-646354415</f>
        <v>-646354384</v>
      </c>
      <c r="R474" s="1">
        <v>2013</v>
      </c>
    </row>
    <row r="475" spans="1:19" ht="15" customHeight="1" x14ac:dyDescent="0.25">
      <c r="A475" s="4" t="s">
        <v>15</v>
      </c>
      <c r="B475" s="1">
        <v>4292405</v>
      </c>
      <c r="C475" s="35" t="s">
        <v>6217</v>
      </c>
      <c r="D475" s="29" t="s">
        <v>3837</v>
      </c>
      <c r="E475" s="1" t="s">
        <v>3838</v>
      </c>
      <c r="F475" s="1" t="s">
        <v>2226</v>
      </c>
      <c r="G475" s="4" t="s">
        <v>5613</v>
      </c>
      <c r="H475" s="4" t="s">
        <v>5719</v>
      </c>
      <c r="I475" s="4" t="s">
        <v>5690</v>
      </c>
      <c r="J475" s="2">
        <v>34875</v>
      </c>
      <c r="K475" s="1" t="s">
        <v>19</v>
      </c>
      <c r="L475" s="1" t="s">
        <v>20</v>
      </c>
      <c r="M475" s="1" t="s">
        <v>3839</v>
      </c>
      <c r="N475" s="1" t="s">
        <v>3840</v>
      </c>
      <c r="O475" s="1" t="s">
        <v>23</v>
      </c>
      <c r="P475" s="1" t="s">
        <v>3841</v>
      </c>
      <c r="Q475" s="1">
        <f>31-639107247</f>
        <v>-639107216</v>
      </c>
      <c r="R475" s="1">
        <v>2013</v>
      </c>
    </row>
    <row r="476" spans="1:19" ht="15" customHeight="1" x14ac:dyDescent="0.25">
      <c r="A476" s="4" t="s">
        <v>15</v>
      </c>
      <c r="B476" s="1">
        <v>4312732</v>
      </c>
      <c r="C476" s="35" t="s">
        <v>6218</v>
      </c>
      <c r="D476" s="29" t="s">
        <v>4112</v>
      </c>
      <c r="E476" s="1" t="s">
        <v>4113</v>
      </c>
      <c r="F476" s="1" t="s">
        <v>4114</v>
      </c>
      <c r="G476" s="4" t="s">
        <v>5613</v>
      </c>
      <c r="H476" s="4" t="s">
        <v>5719</v>
      </c>
      <c r="I476" s="4" t="s">
        <v>5690</v>
      </c>
      <c r="J476" s="2">
        <v>34741</v>
      </c>
      <c r="K476" s="1" t="s">
        <v>517</v>
      </c>
      <c r="L476" s="1" t="s">
        <v>20</v>
      </c>
      <c r="M476" s="1" t="s">
        <v>4115</v>
      </c>
      <c r="N476" s="1" t="s">
        <v>4116</v>
      </c>
      <c r="O476" s="1" t="s">
        <v>23</v>
      </c>
      <c r="P476" s="1" t="s">
        <v>4117</v>
      </c>
      <c r="Q476" s="1">
        <f>31-651410889</f>
        <v>-651410858</v>
      </c>
      <c r="R476" s="1">
        <v>2013</v>
      </c>
    </row>
    <row r="477" spans="1:19" ht="15" customHeight="1" x14ac:dyDescent="0.25">
      <c r="A477" s="4" t="s">
        <v>15</v>
      </c>
      <c r="B477" s="1">
        <v>4301625</v>
      </c>
      <c r="C477" s="35" t="s">
        <v>6219</v>
      </c>
      <c r="D477" s="29" t="s">
        <v>4118</v>
      </c>
      <c r="E477" s="1" t="s">
        <v>4119</v>
      </c>
      <c r="F477" s="1" t="s">
        <v>3750</v>
      </c>
      <c r="G477" s="4" t="s">
        <v>5613</v>
      </c>
      <c r="H477" s="4" t="s">
        <v>5719</v>
      </c>
      <c r="I477" s="4" t="s">
        <v>5690</v>
      </c>
      <c r="J477" s="2">
        <v>34771</v>
      </c>
      <c r="K477" s="1" t="s">
        <v>19</v>
      </c>
      <c r="L477" s="1" t="s">
        <v>20</v>
      </c>
      <c r="M477" s="1" t="s">
        <v>4120</v>
      </c>
      <c r="N477" s="1" t="s">
        <v>4121</v>
      </c>
      <c r="O477" s="1" t="s">
        <v>23</v>
      </c>
      <c r="P477" s="1" t="s">
        <v>4122</v>
      </c>
      <c r="Q477" s="1">
        <f>31-618870066</f>
        <v>-618870035</v>
      </c>
      <c r="R477" s="1">
        <v>2013</v>
      </c>
    </row>
    <row r="478" spans="1:19" ht="15" customHeight="1" x14ac:dyDescent="0.25">
      <c r="A478" s="4" t="s">
        <v>15</v>
      </c>
      <c r="B478" s="1">
        <v>4297334</v>
      </c>
      <c r="C478" s="35" t="s">
        <v>6220</v>
      </c>
      <c r="D478" s="29" t="s">
        <v>4416</v>
      </c>
      <c r="E478" s="1" t="s">
        <v>4417</v>
      </c>
      <c r="F478" s="1" t="s">
        <v>976</v>
      </c>
      <c r="G478" s="4" t="s">
        <v>5613</v>
      </c>
      <c r="H478" s="4" t="s">
        <v>5719</v>
      </c>
      <c r="I478" s="4" t="s">
        <v>5690</v>
      </c>
      <c r="J478" s="2">
        <v>34722</v>
      </c>
      <c r="K478" s="1" t="s">
        <v>19</v>
      </c>
      <c r="L478" s="1" t="s">
        <v>20</v>
      </c>
      <c r="M478" s="1" t="s">
        <v>4418</v>
      </c>
      <c r="N478" s="1" t="s">
        <v>4419</v>
      </c>
      <c r="O478" s="1" t="s">
        <v>23</v>
      </c>
      <c r="P478" s="1" t="s">
        <v>4420</v>
      </c>
      <c r="Q478" s="1">
        <f>31-611676454</f>
        <v>-611676423</v>
      </c>
      <c r="R478" s="1">
        <v>2013</v>
      </c>
    </row>
    <row r="479" spans="1:19" ht="15" customHeight="1" x14ac:dyDescent="0.25">
      <c r="A479" s="4" t="s">
        <v>15</v>
      </c>
      <c r="B479" s="1">
        <v>4236769</v>
      </c>
      <c r="C479" s="35" t="s">
        <v>6221</v>
      </c>
      <c r="D479" s="29" t="s">
        <v>4707</v>
      </c>
      <c r="E479" s="1" t="s">
        <v>4708</v>
      </c>
      <c r="F479" s="1" t="s">
        <v>1413</v>
      </c>
      <c r="G479" s="4" t="s">
        <v>5613</v>
      </c>
      <c r="H479" s="4" t="s">
        <v>5719</v>
      </c>
      <c r="I479" s="4" t="s">
        <v>5690</v>
      </c>
      <c r="J479" s="2">
        <v>34212</v>
      </c>
      <c r="K479" s="1" t="s">
        <v>19</v>
      </c>
      <c r="L479" s="1" t="s">
        <v>20</v>
      </c>
      <c r="M479" s="1" t="s">
        <v>4709</v>
      </c>
      <c r="N479" s="1" t="s">
        <v>4710</v>
      </c>
      <c r="O479" s="1" t="s">
        <v>23</v>
      </c>
      <c r="P479" s="1" t="s">
        <v>4711</v>
      </c>
      <c r="Q479" s="1">
        <f>31-636330005</f>
        <v>-636329974</v>
      </c>
      <c r="R479" s="1">
        <v>2012</v>
      </c>
      <c r="S479" s="1" t="s">
        <v>5232</v>
      </c>
    </row>
    <row r="480" spans="1:19" ht="15" customHeight="1" x14ac:dyDescent="0.25">
      <c r="A480" s="4" t="s">
        <v>15</v>
      </c>
      <c r="B480" s="1">
        <v>4284208</v>
      </c>
      <c r="C480" s="35" t="s">
        <v>6222</v>
      </c>
      <c r="D480" s="29" t="s">
        <v>4718</v>
      </c>
      <c r="E480" s="1" t="s">
        <v>4719</v>
      </c>
      <c r="F480" s="1" t="s">
        <v>312</v>
      </c>
      <c r="G480" s="4" t="s">
        <v>5613</v>
      </c>
      <c r="H480" s="4" t="s">
        <v>5719</v>
      </c>
      <c r="I480" s="4" t="s">
        <v>5690</v>
      </c>
      <c r="J480" s="2">
        <v>34464</v>
      </c>
      <c r="K480" s="1" t="s">
        <v>19</v>
      </c>
      <c r="L480" s="1" t="s">
        <v>20</v>
      </c>
      <c r="M480" s="1" t="s">
        <v>4720</v>
      </c>
      <c r="N480" s="1" t="s">
        <v>4721</v>
      </c>
      <c r="O480" s="1" t="s">
        <v>23</v>
      </c>
      <c r="P480" s="1" t="s">
        <v>4722</v>
      </c>
      <c r="Q480" s="1">
        <f>31-636176064</f>
        <v>-636176033</v>
      </c>
      <c r="R480" s="1">
        <v>2013</v>
      </c>
    </row>
    <row r="481" spans="1:19" ht="15" customHeight="1" x14ac:dyDescent="0.25">
      <c r="A481" s="4" t="s">
        <v>15</v>
      </c>
      <c r="B481" s="1">
        <v>4227700</v>
      </c>
      <c r="C481" s="35" t="s">
        <v>6223</v>
      </c>
      <c r="D481" s="29" t="s">
        <v>5167</v>
      </c>
      <c r="E481" s="1" t="s">
        <v>5168</v>
      </c>
      <c r="F481" s="1" t="s">
        <v>5169</v>
      </c>
      <c r="G481" s="4" t="s">
        <v>5613</v>
      </c>
      <c r="H481" s="4" t="s">
        <v>5719</v>
      </c>
      <c r="I481" s="4" t="s">
        <v>5690</v>
      </c>
      <c r="J481" s="2">
        <v>33910</v>
      </c>
      <c r="K481" s="1" t="s">
        <v>19</v>
      </c>
      <c r="L481" s="1" t="s">
        <v>111</v>
      </c>
      <c r="M481" s="1" t="s">
        <v>5170</v>
      </c>
      <c r="N481" s="1" t="s">
        <v>5171</v>
      </c>
      <c r="O481" s="1" t="s">
        <v>23</v>
      </c>
      <c r="P481" s="1" t="s">
        <v>5172</v>
      </c>
      <c r="Q481" s="1">
        <f>31-624713319</f>
        <v>-624713288</v>
      </c>
      <c r="R481" s="1">
        <v>2012</v>
      </c>
      <c r="S481" s="1" t="s">
        <v>5232</v>
      </c>
    </row>
    <row r="482" spans="1:19" ht="15" customHeight="1" x14ac:dyDescent="0.25">
      <c r="A482" s="4" t="s">
        <v>15</v>
      </c>
      <c r="B482" s="1">
        <v>4316894</v>
      </c>
      <c r="C482" s="35" t="s">
        <v>6224</v>
      </c>
      <c r="D482" s="29" t="s">
        <v>4988</v>
      </c>
      <c r="E482" s="1" t="s">
        <v>4989</v>
      </c>
      <c r="F482" s="1" t="s">
        <v>342</v>
      </c>
      <c r="G482" s="4" t="s">
        <v>5613</v>
      </c>
      <c r="H482" s="4" t="s">
        <v>5719</v>
      </c>
      <c r="I482" s="4" t="s">
        <v>5690</v>
      </c>
      <c r="J482" s="2">
        <v>34757</v>
      </c>
      <c r="K482" s="1" t="s">
        <v>19</v>
      </c>
      <c r="L482" s="1" t="s">
        <v>20</v>
      </c>
      <c r="M482" s="1" t="s">
        <v>4990</v>
      </c>
      <c r="N482" s="1" t="s">
        <v>4991</v>
      </c>
      <c r="O482" s="1" t="s">
        <v>23</v>
      </c>
      <c r="P482" s="1" t="s">
        <v>4992</v>
      </c>
      <c r="Q482" s="1">
        <f>31-646685231</f>
        <v>-646685200</v>
      </c>
      <c r="R482" s="1">
        <v>2013</v>
      </c>
    </row>
    <row r="483" spans="1:19" ht="15" customHeight="1" x14ac:dyDescent="0.25">
      <c r="A483" s="4" t="s">
        <v>15</v>
      </c>
      <c r="B483" s="1">
        <v>4311191</v>
      </c>
      <c r="C483" s="35" t="s">
        <v>6225</v>
      </c>
      <c r="D483" s="29" t="s">
        <v>3986</v>
      </c>
      <c r="E483" s="1" t="s">
        <v>3987</v>
      </c>
      <c r="F483" s="1" t="s">
        <v>3988</v>
      </c>
      <c r="G483" s="4" t="s">
        <v>5614</v>
      </c>
      <c r="H483" s="4" t="s">
        <v>5719</v>
      </c>
      <c r="I483" s="4" t="s">
        <v>5690</v>
      </c>
      <c r="J483" s="2">
        <v>34950</v>
      </c>
      <c r="K483" s="1" t="s">
        <v>19</v>
      </c>
      <c r="L483" s="1" t="s">
        <v>20</v>
      </c>
      <c r="M483" s="1" t="s">
        <v>3989</v>
      </c>
      <c r="N483" s="1" t="s">
        <v>3990</v>
      </c>
      <c r="O483" s="1" t="s">
        <v>23</v>
      </c>
      <c r="P483" s="1" t="s">
        <v>3991</v>
      </c>
      <c r="Q483" s="1">
        <f>31-641130592</f>
        <v>-641130561</v>
      </c>
      <c r="R483" s="1">
        <v>2013</v>
      </c>
    </row>
    <row r="484" spans="1:19" ht="15" customHeight="1" x14ac:dyDescent="0.25">
      <c r="A484" s="4" t="s">
        <v>15</v>
      </c>
      <c r="B484" s="1">
        <v>4316703</v>
      </c>
      <c r="C484" s="35" t="s">
        <v>6226</v>
      </c>
      <c r="D484" s="29" t="s">
        <v>4073</v>
      </c>
      <c r="E484" s="1" t="s">
        <v>4074</v>
      </c>
      <c r="F484" s="1" t="s">
        <v>4075</v>
      </c>
      <c r="G484" s="4" t="s">
        <v>5614</v>
      </c>
      <c r="H484" s="4" t="s">
        <v>5719</v>
      </c>
      <c r="I484" s="4" t="s">
        <v>5690</v>
      </c>
      <c r="J484" s="2">
        <v>34526</v>
      </c>
      <c r="K484" s="1" t="s">
        <v>19</v>
      </c>
      <c r="L484" s="1" t="s">
        <v>20</v>
      </c>
      <c r="M484" s="1" t="s">
        <v>4076</v>
      </c>
      <c r="N484" s="1" t="s">
        <v>4077</v>
      </c>
      <c r="O484" s="1" t="s">
        <v>23</v>
      </c>
      <c r="P484" s="1" t="s">
        <v>4078</v>
      </c>
      <c r="Q484" s="1">
        <f>31-618390606</f>
        <v>-618390575</v>
      </c>
      <c r="R484" s="1">
        <v>2013</v>
      </c>
    </row>
    <row r="485" spans="1:19" ht="15" customHeight="1" x14ac:dyDescent="0.25">
      <c r="A485" s="4" t="s">
        <v>15</v>
      </c>
      <c r="B485" s="1">
        <v>4283678</v>
      </c>
      <c r="C485" s="35" t="s">
        <v>6227</v>
      </c>
      <c r="D485" s="29" t="s">
        <v>4107</v>
      </c>
      <c r="E485" s="1" t="s">
        <v>4108</v>
      </c>
      <c r="F485" s="1" t="s">
        <v>1448</v>
      </c>
      <c r="G485" s="4" t="s">
        <v>5614</v>
      </c>
      <c r="H485" s="4" t="s">
        <v>5719</v>
      </c>
      <c r="I485" s="4" t="s">
        <v>5690</v>
      </c>
      <c r="J485" s="2">
        <v>34397</v>
      </c>
      <c r="K485" s="1" t="s">
        <v>19</v>
      </c>
      <c r="L485" s="1" t="s">
        <v>20</v>
      </c>
      <c r="M485" s="1" t="s">
        <v>4109</v>
      </c>
      <c r="N485" s="1" t="s">
        <v>4110</v>
      </c>
      <c r="O485" s="1" t="s">
        <v>23</v>
      </c>
      <c r="P485" s="1" t="s">
        <v>4111</v>
      </c>
      <c r="Q485" s="1">
        <f>31-641610551</f>
        <v>-641610520</v>
      </c>
      <c r="R485" s="1">
        <v>2013</v>
      </c>
    </row>
    <row r="486" spans="1:19" ht="15" customHeight="1" x14ac:dyDescent="0.25">
      <c r="A486" s="4" t="s">
        <v>15</v>
      </c>
      <c r="B486" s="1">
        <v>4309928</v>
      </c>
      <c r="C486" s="35" t="s">
        <v>6228</v>
      </c>
      <c r="D486" s="29" t="s">
        <v>5079</v>
      </c>
      <c r="E486" s="1" t="s">
        <v>5080</v>
      </c>
      <c r="F486" s="1" t="s">
        <v>5081</v>
      </c>
      <c r="G486" s="4" t="s">
        <v>5614</v>
      </c>
      <c r="H486" s="4" t="s">
        <v>5719</v>
      </c>
      <c r="I486" s="4" t="s">
        <v>5690</v>
      </c>
      <c r="J486" s="2">
        <v>34830</v>
      </c>
      <c r="K486" s="1" t="s">
        <v>19</v>
      </c>
      <c r="L486" s="1" t="s">
        <v>111</v>
      </c>
      <c r="M486" s="1" t="s">
        <v>5082</v>
      </c>
      <c r="N486" s="1" t="s">
        <v>5083</v>
      </c>
      <c r="O486" s="1" t="s">
        <v>23</v>
      </c>
      <c r="P486" s="1" t="s">
        <v>5084</v>
      </c>
      <c r="Q486" s="1">
        <f>31-634433401</f>
        <v>-634433370</v>
      </c>
      <c r="R486" s="1">
        <v>2013</v>
      </c>
    </row>
    <row r="487" spans="1:19" ht="15" customHeight="1" x14ac:dyDescent="0.25">
      <c r="A487" s="4" t="s">
        <v>15</v>
      </c>
      <c r="B487" s="1">
        <v>4298721</v>
      </c>
      <c r="C487" s="35" t="s">
        <v>6229</v>
      </c>
      <c r="D487" s="29" t="s">
        <v>5218</v>
      </c>
      <c r="E487" s="1" t="s">
        <v>5219</v>
      </c>
      <c r="F487" s="1" t="s">
        <v>2871</v>
      </c>
      <c r="G487" s="4" t="s">
        <v>5614</v>
      </c>
      <c r="H487" s="4" t="s">
        <v>5719</v>
      </c>
      <c r="I487" s="4" t="s">
        <v>5690</v>
      </c>
      <c r="J487" s="2">
        <v>34776</v>
      </c>
      <c r="K487" s="1" t="s">
        <v>19</v>
      </c>
      <c r="L487" s="1" t="s">
        <v>20</v>
      </c>
      <c r="P487" t="s">
        <v>5220</v>
      </c>
      <c r="R487" s="1">
        <v>2013</v>
      </c>
    </row>
    <row r="488" spans="1:19" ht="15" customHeight="1" x14ac:dyDescent="0.25">
      <c r="A488" s="4" t="s">
        <v>15</v>
      </c>
      <c r="B488" s="1">
        <v>4231503</v>
      </c>
      <c r="C488" s="35" t="s">
        <v>6230</v>
      </c>
      <c r="D488" s="29" t="s">
        <v>4501</v>
      </c>
      <c r="E488" s="1" t="s">
        <v>4502</v>
      </c>
      <c r="F488" s="1" t="s">
        <v>384</v>
      </c>
      <c r="G488" s="4" t="s">
        <v>5614</v>
      </c>
      <c r="H488" s="4" t="s">
        <v>5719</v>
      </c>
      <c r="I488" s="4" t="s">
        <v>5690</v>
      </c>
      <c r="J488" s="2">
        <v>33921</v>
      </c>
      <c r="K488" s="1" t="s">
        <v>19</v>
      </c>
      <c r="L488" s="1" t="s">
        <v>20</v>
      </c>
      <c r="M488" s="1" t="s">
        <v>4503</v>
      </c>
      <c r="N488" s="1" t="s">
        <v>4504</v>
      </c>
      <c r="O488" s="1" t="s">
        <v>23</v>
      </c>
      <c r="P488" s="1" t="s">
        <v>4505</v>
      </c>
      <c r="Q488" s="1">
        <f>31-650265836</f>
        <v>-650265805</v>
      </c>
      <c r="R488" s="1">
        <v>2013</v>
      </c>
    </row>
    <row r="489" spans="1:19" ht="15" customHeight="1" x14ac:dyDescent="0.25">
      <c r="A489" s="4" t="s">
        <v>15</v>
      </c>
      <c r="B489" s="1">
        <v>4268687</v>
      </c>
      <c r="C489" s="35" t="s">
        <v>6231</v>
      </c>
      <c r="D489" s="29" t="s">
        <v>4630</v>
      </c>
      <c r="E489" s="1" t="s">
        <v>4631</v>
      </c>
      <c r="F489" s="1" t="s">
        <v>3750</v>
      </c>
      <c r="G489" s="4" t="s">
        <v>5614</v>
      </c>
      <c r="H489" s="4" t="s">
        <v>5719</v>
      </c>
      <c r="I489" s="4" t="s">
        <v>5690</v>
      </c>
      <c r="J489" s="2">
        <v>34900</v>
      </c>
      <c r="K489" s="1" t="s">
        <v>137</v>
      </c>
      <c r="L489" s="1" t="s">
        <v>20</v>
      </c>
      <c r="M489" s="1" t="s">
        <v>4632</v>
      </c>
      <c r="N489" s="1" t="s">
        <v>4633</v>
      </c>
      <c r="O489" s="1" t="s">
        <v>23</v>
      </c>
      <c r="P489" s="1" t="s">
        <v>4634</v>
      </c>
      <c r="Q489" s="1">
        <f>31-683449532</f>
        <v>-683449501</v>
      </c>
      <c r="R489" s="1">
        <v>2013</v>
      </c>
    </row>
    <row r="490" spans="1:19" ht="15" customHeight="1" x14ac:dyDescent="0.25">
      <c r="A490" s="4" t="s">
        <v>15</v>
      </c>
      <c r="B490" s="1">
        <v>4316517</v>
      </c>
      <c r="C490" s="35" t="s">
        <v>6232</v>
      </c>
      <c r="D490" s="29" t="s">
        <v>4998</v>
      </c>
      <c r="E490" s="1" t="s">
        <v>4999</v>
      </c>
      <c r="F490" s="1" t="s">
        <v>68</v>
      </c>
      <c r="G490" s="4" t="s">
        <v>5614</v>
      </c>
      <c r="H490" s="4" t="s">
        <v>5719</v>
      </c>
      <c r="I490" s="4" t="s">
        <v>5690</v>
      </c>
      <c r="J490" s="2">
        <v>34618</v>
      </c>
      <c r="K490" s="1" t="s">
        <v>19</v>
      </c>
      <c r="L490" s="1" t="s">
        <v>20</v>
      </c>
      <c r="M490" s="1" t="s">
        <v>5000</v>
      </c>
      <c r="N490" s="1" t="s">
        <v>5001</v>
      </c>
      <c r="O490" s="1" t="s">
        <v>23</v>
      </c>
      <c r="P490" s="1" t="s">
        <v>5002</v>
      </c>
      <c r="R490" s="1">
        <v>2013</v>
      </c>
    </row>
    <row r="491" spans="1:19" ht="15" customHeight="1" x14ac:dyDescent="0.25">
      <c r="A491" s="4" t="s">
        <v>15</v>
      </c>
      <c r="B491" s="1">
        <v>4295900</v>
      </c>
      <c r="C491" s="35" t="s">
        <v>6233</v>
      </c>
      <c r="D491" s="29" t="s">
        <v>2388</v>
      </c>
      <c r="E491" s="1" t="s">
        <v>2389</v>
      </c>
      <c r="F491" s="1" t="s">
        <v>2390</v>
      </c>
      <c r="G491" s="4" t="s">
        <v>5615</v>
      </c>
      <c r="H491" s="4" t="s">
        <v>5719</v>
      </c>
      <c r="I491" s="4" t="s">
        <v>5691</v>
      </c>
      <c r="J491" s="2">
        <v>34010</v>
      </c>
      <c r="K491" s="1" t="s">
        <v>19</v>
      </c>
      <c r="L491" s="1" t="s">
        <v>20</v>
      </c>
      <c r="M491" s="1" t="s">
        <v>2391</v>
      </c>
      <c r="N491" s="1" t="s">
        <v>2392</v>
      </c>
      <c r="O491" s="1" t="s">
        <v>23</v>
      </c>
      <c r="P491" s="1" t="s">
        <v>2393</v>
      </c>
      <c r="Q491" s="1">
        <f>31-653568484</f>
        <v>-653568453</v>
      </c>
      <c r="R491" s="1">
        <v>2013</v>
      </c>
    </row>
    <row r="492" spans="1:19" ht="15" customHeight="1" x14ac:dyDescent="0.25">
      <c r="A492" s="4" t="s">
        <v>15</v>
      </c>
      <c r="B492" s="1">
        <v>4292022</v>
      </c>
      <c r="C492" s="35" t="s">
        <v>6234</v>
      </c>
      <c r="D492" s="29" t="s">
        <v>4253</v>
      </c>
      <c r="E492" s="1" t="s">
        <v>4254</v>
      </c>
      <c r="F492" s="1" t="s">
        <v>4255</v>
      </c>
      <c r="G492" s="4" t="s">
        <v>5615</v>
      </c>
      <c r="H492" s="4" t="s">
        <v>5719</v>
      </c>
      <c r="I492" s="4" t="s">
        <v>5691</v>
      </c>
      <c r="J492" s="2">
        <v>34970</v>
      </c>
      <c r="K492" s="1" t="s">
        <v>19</v>
      </c>
      <c r="L492" s="1" t="s">
        <v>20</v>
      </c>
      <c r="M492" s="1" t="s">
        <v>4256</v>
      </c>
      <c r="N492" s="1" t="s">
        <v>4257</v>
      </c>
      <c r="O492" s="1" t="s">
        <v>23</v>
      </c>
      <c r="P492" s="1" t="s">
        <v>4258</v>
      </c>
      <c r="Q492" s="1">
        <f>31-611738218</f>
        <v>-611738187</v>
      </c>
      <c r="R492" s="1">
        <v>2013</v>
      </c>
    </row>
    <row r="493" spans="1:19" ht="15" customHeight="1" x14ac:dyDescent="0.25">
      <c r="A493" s="4" t="s">
        <v>15</v>
      </c>
      <c r="B493" s="1">
        <v>4326032</v>
      </c>
      <c r="C493" s="35" t="s">
        <v>6235</v>
      </c>
      <c r="D493" s="29" t="s">
        <v>2394</v>
      </c>
      <c r="E493" s="1" t="s">
        <v>2395</v>
      </c>
      <c r="F493" s="1" t="s">
        <v>1857</v>
      </c>
      <c r="G493" s="4" t="s">
        <v>5615</v>
      </c>
      <c r="H493" s="4" t="s">
        <v>5719</v>
      </c>
      <c r="I493" s="4" t="s">
        <v>5691</v>
      </c>
      <c r="J493" s="2">
        <v>34841</v>
      </c>
      <c r="K493" s="1" t="s">
        <v>19</v>
      </c>
      <c r="L493" s="1" t="s">
        <v>20</v>
      </c>
      <c r="M493" s="1" t="s">
        <v>2396</v>
      </c>
      <c r="N493" s="1" t="s">
        <v>2397</v>
      </c>
      <c r="O493" s="1" t="s">
        <v>23</v>
      </c>
      <c r="P493" s="1" t="s">
        <v>2398</v>
      </c>
      <c r="Q493" s="1">
        <f>31-610634485</f>
        <v>-610634454</v>
      </c>
      <c r="R493" s="1">
        <v>2013</v>
      </c>
    </row>
    <row r="494" spans="1:19" ht="15" customHeight="1" x14ac:dyDescent="0.25">
      <c r="A494" s="4" t="s">
        <v>15</v>
      </c>
      <c r="B494" s="1">
        <v>4326857</v>
      </c>
      <c r="C494" s="35" t="s">
        <v>6236</v>
      </c>
      <c r="D494" s="29" t="s">
        <v>2399</v>
      </c>
      <c r="E494" s="1" t="s">
        <v>2400</v>
      </c>
      <c r="F494" s="1" t="s">
        <v>2401</v>
      </c>
      <c r="G494" s="4" t="s">
        <v>5615</v>
      </c>
      <c r="H494" s="4" t="s">
        <v>5719</v>
      </c>
      <c r="I494" s="4" t="s">
        <v>5691</v>
      </c>
      <c r="J494" s="2">
        <v>34726</v>
      </c>
      <c r="K494" s="1" t="s">
        <v>2402</v>
      </c>
      <c r="L494" s="1" t="s">
        <v>20</v>
      </c>
      <c r="M494" s="1" t="s">
        <v>2403</v>
      </c>
      <c r="N494" s="1" t="s">
        <v>2404</v>
      </c>
      <c r="O494" s="1" t="s">
        <v>2217</v>
      </c>
      <c r="P494" s="1" t="s">
        <v>2405</v>
      </c>
      <c r="Q494" s="1">
        <f>49-17632385653</f>
        <v>-17632385604</v>
      </c>
      <c r="R494" s="1">
        <v>2013</v>
      </c>
    </row>
    <row r="495" spans="1:19" ht="15" customHeight="1" x14ac:dyDescent="0.25">
      <c r="A495" s="4" t="s">
        <v>15</v>
      </c>
      <c r="B495" s="1">
        <v>4217225</v>
      </c>
      <c r="C495" s="35" t="s">
        <v>6237</v>
      </c>
      <c r="D495" s="29" t="s">
        <v>2406</v>
      </c>
      <c r="E495" s="1" t="s">
        <v>2407</v>
      </c>
      <c r="F495" s="1" t="s">
        <v>1643</v>
      </c>
      <c r="G495" s="4" t="s">
        <v>5615</v>
      </c>
      <c r="H495" s="4" t="s">
        <v>5719</v>
      </c>
      <c r="I495" s="4" t="s">
        <v>5691</v>
      </c>
      <c r="J495" s="2">
        <v>34512</v>
      </c>
      <c r="K495" s="1" t="s">
        <v>19</v>
      </c>
      <c r="L495" s="1" t="s">
        <v>20</v>
      </c>
      <c r="M495" s="1" t="s">
        <v>2408</v>
      </c>
      <c r="N495" s="1" t="s">
        <v>2409</v>
      </c>
      <c r="O495" s="1" t="s">
        <v>23</v>
      </c>
      <c r="P495" s="1" t="s">
        <v>2410</v>
      </c>
      <c r="Q495" s="1">
        <f>31-613108358</f>
        <v>-613108327</v>
      </c>
      <c r="R495" s="1">
        <v>2012</v>
      </c>
      <c r="S495" s="1" t="s">
        <v>88</v>
      </c>
    </row>
    <row r="496" spans="1:19" ht="15" customHeight="1" x14ac:dyDescent="0.25">
      <c r="A496" s="4" t="s">
        <v>15</v>
      </c>
      <c r="B496" s="1">
        <v>4312627</v>
      </c>
      <c r="C496" s="35" t="s">
        <v>6238</v>
      </c>
      <c r="D496" s="29" t="s">
        <v>2411</v>
      </c>
      <c r="E496" s="1" t="s">
        <v>2412</v>
      </c>
      <c r="F496" s="1" t="s">
        <v>2413</v>
      </c>
      <c r="G496" s="4" t="s">
        <v>5615</v>
      </c>
      <c r="H496" s="4" t="s">
        <v>5719</v>
      </c>
      <c r="I496" s="4" t="s">
        <v>5691</v>
      </c>
      <c r="J496" s="2">
        <v>34295</v>
      </c>
      <c r="K496" s="1" t="s">
        <v>19</v>
      </c>
      <c r="L496" s="1" t="s">
        <v>20</v>
      </c>
      <c r="M496" s="1" t="s">
        <v>2414</v>
      </c>
      <c r="N496" s="1" t="s">
        <v>2415</v>
      </c>
      <c r="O496" s="1" t="s">
        <v>23</v>
      </c>
      <c r="P496" s="1" t="s">
        <v>2416</v>
      </c>
      <c r="Q496" s="1">
        <f>31-637196323</f>
        <v>-637196292</v>
      </c>
      <c r="R496" s="1">
        <v>2013</v>
      </c>
    </row>
    <row r="497" spans="1:19" ht="15" customHeight="1" x14ac:dyDescent="0.25">
      <c r="A497" s="4" t="s">
        <v>15</v>
      </c>
      <c r="B497" s="1">
        <v>4301854</v>
      </c>
      <c r="C497" s="35" t="s">
        <v>6239</v>
      </c>
      <c r="D497" s="29" t="s">
        <v>2417</v>
      </c>
      <c r="E497" s="1" t="s">
        <v>2418</v>
      </c>
      <c r="F497" s="1" t="s">
        <v>1079</v>
      </c>
      <c r="G497" s="4" t="s">
        <v>5615</v>
      </c>
      <c r="H497" s="4" t="s">
        <v>5719</v>
      </c>
      <c r="I497" s="4" t="s">
        <v>5691</v>
      </c>
      <c r="J497" s="2">
        <v>34696</v>
      </c>
      <c r="K497" s="1" t="s">
        <v>19</v>
      </c>
      <c r="L497" s="1" t="s">
        <v>20</v>
      </c>
      <c r="M497" s="1" t="s">
        <v>2419</v>
      </c>
      <c r="N497" s="1" t="s">
        <v>2420</v>
      </c>
      <c r="O497" s="1" t="s">
        <v>23</v>
      </c>
      <c r="P497" s="1" t="s">
        <v>2421</v>
      </c>
      <c r="Q497" s="1">
        <f>31-620650888</f>
        <v>-620650857</v>
      </c>
      <c r="R497" s="1">
        <v>2013</v>
      </c>
    </row>
    <row r="498" spans="1:19" ht="15" customHeight="1" x14ac:dyDescent="0.25">
      <c r="A498" s="4" t="s">
        <v>15</v>
      </c>
      <c r="B498" s="1">
        <v>4240928</v>
      </c>
      <c r="C498" s="35" t="s">
        <v>6240</v>
      </c>
      <c r="D498" s="29" t="s">
        <v>2081</v>
      </c>
      <c r="E498" s="1" t="s">
        <v>2422</v>
      </c>
      <c r="F498" s="1" t="s">
        <v>2423</v>
      </c>
      <c r="G498" s="4" t="s">
        <v>5615</v>
      </c>
      <c r="H498" s="4" t="s">
        <v>5719</v>
      </c>
      <c r="I498" s="4" t="s">
        <v>5691</v>
      </c>
      <c r="J498" s="2">
        <v>34311</v>
      </c>
      <c r="K498" s="1" t="s">
        <v>19</v>
      </c>
      <c r="L498" s="1" t="s">
        <v>20</v>
      </c>
      <c r="M498" s="1" t="s">
        <v>2424</v>
      </c>
      <c r="N498" s="1" t="s">
        <v>2425</v>
      </c>
      <c r="O498" s="1" t="s">
        <v>23</v>
      </c>
      <c r="P498" s="1" t="s">
        <v>2426</v>
      </c>
      <c r="Q498" s="1">
        <f>31-643204612</f>
        <v>-643204581</v>
      </c>
      <c r="R498" s="1">
        <v>2013</v>
      </c>
    </row>
    <row r="499" spans="1:19" ht="15" customHeight="1" x14ac:dyDescent="0.25">
      <c r="A499" s="4" t="s">
        <v>15</v>
      </c>
      <c r="B499" s="1">
        <v>4322843</v>
      </c>
      <c r="C499" s="35" t="s">
        <v>6241</v>
      </c>
      <c r="D499" s="29" t="s">
        <v>2427</v>
      </c>
      <c r="E499" s="1" t="s">
        <v>2428</v>
      </c>
      <c r="F499" s="1" t="s">
        <v>2429</v>
      </c>
      <c r="G499" s="4" t="s">
        <v>5616</v>
      </c>
      <c r="H499" s="4" t="s">
        <v>5719</v>
      </c>
      <c r="I499" s="4" t="s">
        <v>5691</v>
      </c>
      <c r="J499" s="2">
        <v>34774</v>
      </c>
      <c r="K499" s="1" t="s">
        <v>19</v>
      </c>
      <c r="L499" s="1" t="s">
        <v>20</v>
      </c>
      <c r="M499" s="1" t="s">
        <v>2430</v>
      </c>
      <c r="N499" s="1" t="s">
        <v>2431</v>
      </c>
      <c r="O499" s="1" t="s">
        <v>23</v>
      </c>
      <c r="P499" s="1" t="s">
        <v>2432</v>
      </c>
      <c r="Q499" s="1">
        <f>31-634270005</f>
        <v>-634269974</v>
      </c>
      <c r="R499" s="1">
        <v>2013</v>
      </c>
    </row>
    <row r="500" spans="1:19" ht="15" customHeight="1" x14ac:dyDescent="0.25">
      <c r="A500" s="4" t="s">
        <v>15</v>
      </c>
      <c r="B500" s="1">
        <v>4269179</v>
      </c>
      <c r="C500" s="35" t="s">
        <v>6242</v>
      </c>
      <c r="D500" s="29" t="s">
        <v>2433</v>
      </c>
      <c r="E500" s="1" t="s">
        <v>2434</v>
      </c>
      <c r="F500" s="1" t="s">
        <v>2435</v>
      </c>
      <c r="G500" s="4" t="s">
        <v>5616</v>
      </c>
      <c r="H500" s="4" t="s">
        <v>5719</v>
      </c>
      <c r="I500" s="4" t="s">
        <v>5691</v>
      </c>
      <c r="J500" s="2">
        <v>34836</v>
      </c>
      <c r="K500" s="1" t="s">
        <v>19</v>
      </c>
      <c r="L500" s="1" t="s">
        <v>20</v>
      </c>
      <c r="M500" s="1" t="s">
        <v>2436</v>
      </c>
      <c r="N500" s="1" t="s">
        <v>2437</v>
      </c>
      <c r="O500" s="1" t="s">
        <v>23</v>
      </c>
      <c r="P500" s="1" t="s">
        <v>2438</v>
      </c>
      <c r="Q500" s="1">
        <f>31-614965738</f>
        <v>-614965707</v>
      </c>
      <c r="R500" s="1">
        <v>2013</v>
      </c>
    </row>
    <row r="501" spans="1:19" ht="15" customHeight="1" x14ac:dyDescent="0.25">
      <c r="A501" s="4" t="s">
        <v>15</v>
      </c>
      <c r="B501" s="1">
        <v>4223055</v>
      </c>
      <c r="C501" s="35" t="s">
        <v>6243</v>
      </c>
      <c r="D501" s="29" t="s">
        <v>2439</v>
      </c>
      <c r="E501" s="1" t="s">
        <v>2440</v>
      </c>
      <c r="F501" s="1" t="s">
        <v>2441</v>
      </c>
      <c r="G501" s="4" t="s">
        <v>5616</v>
      </c>
      <c r="H501" s="4" t="s">
        <v>5719</v>
      </c>
      <c r="I501" s="4" t="s">
        <v>5691</v>
      </c>
      <c r="J501" s="2">
        <v>34381</v>
      </c>
      <c r="K501" s="1" t="s">
        <v>19</v>
      </c>
      <c r="L501" s="1" t="s">
        <v>20</v>
      </c>
      <c r="M501" s="1" t="s">
        <v>2442</v>
      </c>
      <c r="N501" s="1" t="s">
        <v>2443</v>
      </c>
      <c r="O501" s="1" t="s">
        <v>23</v>
      </c>
      <c r="P501" s="1" t="s">
        <v>2444</v>
      </c>
      <c r="Q501" s="1">
        <f>31-657224055</f>
        <v>-657224024</v>
      </c>
      <c r="R501" s="1">
        <v>2012</v>
      </c>
      <c r="S501" s="1" t="s">
        <v>88</v>
      </c>
    </row>
    <row r="502" spans="1:19" ht="15" customHeight="1" x14ac:dyDescent="0.25">
      <c r="A502" s="4" t="s">
        <v>15</v>
      </c>
      <c r="B502" s="1">
        <v>4288548</v>
      </c>
      <c r="C502" s="35" t="s">
        <v>6244</v>
      </c>
      <c r="D502" s="29" t="s">
        <v>2445</v>
      </c>
      <c r="E502" s="1" t="s">
        <v>2446</v>
      </c>
      <c r="F502" s="1" t="s">
        <v>1901</v>
      </c>
      <c r="G502" s="4" t="s">
        <v>5616</v>
      </c>
      <c r="H502" s="4" t="s">
        <v>5719</v>
      </c>
      <c r="I502" s="4" t="s">
        <v>5691</v>
      </c>
      <c r="J502" s="2">
        <v>34858</v>
      </c>
      <c r="K502" s="1" t="s">
        <v>19</v>
      </c>
      <c r="L502" s="1" t="s">
        <v>20</v>
      </c>
      <c r="M502" s="1" t="s">
        <v>2447</v>
      </c>
      <c r="N502" s="1" t="s">
        <v>2448</v>
      </c>
      <c r="O502" s="1" t="s">
        <v>23</v>
      </c>
      <c r="P502" s="1" t="s">
        <v>2449</v>
      </c>
      <c r="Q502" s="1">
        <f>31-630807406</f>
        <v>-630807375</v>
      </c>
      <c r="R502" s="1">
        <v>2013</v>
      </c>
    </row>
    <row r="503" spans="1:19" ht="15" customHeight="1" x14ac:dyDescent="0.25">
      <c r="A503" s="4" t="s">
        <v>15</v>
      </c>
      <c r="B503" s="1">
        <v>4317874</v>
      </c>
      <c r="C503" s="35" t="s">
        <v>6245</v>
      </c>
      <c r="D503" s="29" t="s">
        <v>2450</v>
      </c>
      <c r="E503" s="1" t="s">
        <v>2451</v>
      </c>
      <c r="F503" s="1" t="s">
        <v>494</v>
      </c>
      <c r="G503" s="4" t="s">
        <v>5616</v>
      </c>
      <c r="H503" s="4" t="s">
        <v>5719</v>
      </c>
      <c r="I503" s="4" t="s">
        <v>5691</v>
      </c>
      <c r="J503" s="2">
        <v>34965</v>
      </c>
      <c r="K503" s="1" t="s">
        <v>19</v>
      </c>
      <c r="L503" s="1" t="s">
        <v>20</v>
      </c>
      <c r="M503" s="1" t="s">
        <v>2452</v>
      </c>
      <c r="N503" s="1" t="s">
        <v>2453</v>
      </c>
      <c r="O503" s="1" t="s">
        <v>23</v>
      </c>
      <c r="P503" s="1" t="s">
        <v>2454</v>
      </c>
      <c r="Q503" s="1">
        <f>31-648513932</f>
        <v>-648513901</v>
      </c>
      <c r="R503" s="1">
        <v>2013</v>
      </c>
    </row>
    <row r="504" spans="1:19" ht="15" customHeight="1" x14ac:dyDescent="0.25">
      <c r="A504" s="4" t="s">
        <v>15</v>
      </c>
      <c r="B504" s="1">
        <v>4244117</v>
      </c>
      <c r="C504" s="35" t="s">
        <v>6246</v>
      </c>
      <c r="D504" s="29" t="s">
        <v>2455</v>
      </c>
      <c r="E504" s="1" t="s">
        <v>2456</v>
      </c>
      <c r="F504" s="1" t="s">
        <v>2457</v>
      </c>
      <c r="G504" s="4" t="s">
        <v>5616</v>
      </c>
      <c r="H504" s="4" t="s">
        <v>5719</v>
      </c>
      <c r="I504" s="4" t="s">
        <v>5691</v>
      </c>
      <c r="J504" s="2">
        <v>33981</v>
      </c>
      <c r="K504" s="1" t="s">
        <v>19</v>
      </c>
      <c r="L504" s="1" t="s">
        <v>20</v>
      </c>
      <c r="M504" s="1" t="s">
        <v>2458</v>
      </c>
      <c r="N504" s="1" t="s">
        <v>2459</v>
      </c>
      <c r="O504" s="1" t="s">
        <v>23</v>
      </c>
      <c r="P504" s="1" t="s">
        <v>2460</v>
      </c>
      <c r="Q504" s="1">
        <f>31-681457212</f>
        <v>-681457181</v>
      </c>
      <c r="R504" s="1">
        <v>2012</v>
      </c>
      <c r="S504" s="1" t="s">
        <v>5232</v>
      </c>
    </row>
    <row r="505" spans="1:19" ht="15" customHeight="1" x14ac:dyDescent="0.25">
      <c r="A505" s="4" t="s">
        <v>15</v>
      </c>
      <c r="B505" s="1">
        <v>4272099</v>
      </c>
      <c r="C505" s="35" t="s">
        <v>6247</v>
      </c>
      <c r="D505" s="29" t="s">
        <v>2461</v>
      </c>
      <c r="E505" s="1" t="s">
        <v>2462</v>
      </c>
      <c r="F505" s="1" t="s">
        <v>2463</v>
      </c>
      <c r="G505" s="4" t="s">
        <v>5616</v>
      </c>
      <c r="H505" s="4" t="s">
        <v>5719</v>
      </c>
      <c r="I505" s="4" t="s">
        <v>5691</v>
      </c>
      <c r="J505" s="2">
        <v>34638</v>
      </c>
      <c r="K505" s="1" t="s">
        <v>19</v>
      </c>
      <c r="L505" s="1" t="s">
        <v>20</v>
      </c>
      <c r="M505" s="1" t="s">
        <v>2464</v>
      </c>
      <c r="N505" s="1" t="s">
        <v>2465</v>
      </c>
      <c r="O505" s="1" t="s">
        <v>23</v>
      </c>
      <c r="P505" s="1" t="s">
        <v>2466</v>
      </c>
      <c r="Q505" s="1">
        <f>31-634323310</f>
        <v>-634323279</v>
      </c>
      <c r="R505" s="1">
        <v>2013</v>
      </c>
    </row>
    <row r="506" spans="1:19" ht="15" customHeight="1" x14ac:dyDescent="0.25">
      <c r="A506" s="4" t="s">
        <v>15</v>
      </c>
      <c r="B506" s="1">
        <v>4317858</v>
      </c>
      <c r="C506" s="35" t="s">
        <v>6248</v>
      </c>
      <c r="D506" s="29" t="s">
        <v>2467</v>
      </c>
      <c r="E506" s="1" t="s">
        <v>2468</v>
      </c>
      <c r="F506" s="1" t="s">
        <v>1942</v>
      </c>
      <c r="G506" s="4" t="s">
        <v>5616</v>
      </c>
      <c r="H506" s="4" t="s">
        <v>5719</v>
      </c>
      <c r="I506" s="4" t="s">
        <v>5691</v>
      </c>
      <c r="J506" s="2">
        <v>34666</v>
      </c>
      <c r="K506" s="1" t="s">
        <v>19</v>
      </c>
      <c r="L506" s="1" t="s">
        <v>20</v>
      </c>
      <c r="M506" s="1" t="s">
        <v>2469</v>
      </c>
      <c r="N506" s="1" t="s">
        <v>2470</v>
      </c>
      <c r="O506" s="1" t="s">
        <v>23</v>
      </c>
      <c r="P506" s="1" t="s">
        <v>2471</v>
      </c>
      <c r="Q506" s="1">
        <f>31-634471767</f>
        <v>-634471736</v>
      </c>
      <c r="R506" s="1">
        <v>2013</v>
      </c>
    </row>
    <row r="507" spans="1:19" ht="15" customHeight="1" x14ac:dyDescent="0.25">
      <c r="A507" s="4" t="s">
        <v>15</v>
      </c>
      <c r="B507" s="1">
        <v>4207580</v>
      </c>
      <c r="C507" s="35" t="s">
        <v>6249</v>
      </c>
      <c r="D507" s="29" t="s">
        <v>2472</v>
      </c>
      <c r="E507" s="1" t="s">
        <v>2473</v>
      </c>
      <c r="F507" s="1" t="s">
        <v>928</v>
      </c>
      <c r="G507" s="4" t="s">
        <v>5617</v>
      </c>
      <c r="H507" s="4" t="s">
        <v>5719</v>
      </c>
      <c r="I507" s="4" t="s">
        <v>5692</v>
      </c>
      <c r="J507" s="2">
        <v>34522</v>
      </c>
      <c r="K507" s="1" t="s">
        <v>19</v>
      </c>
      <c r="L507" s="1" t="s">
        <v>20</v>
      </c>
      <c r="M507" s="1" t="s">
        <v>2474</v>
      </c>
      <c r="N507" s="1" t="s">
        <v>2475</v>
      </c>
      <c r="O507" s="1" t="s">
        <v>23</v>
      </c>
      <c r="P507" s="1" t="s">
        <v>2476</v>
      </c>
      <c r="Q507" s="1">
        <f>31-652182684</f>
        <v>-652182653</v>
      </c>
      <c r="R507" s="1">
        <v>2012</v>
      </c>
      <c r="S507" s="1" t="s">
        <v>88</v>
      </c>
    </row>
    <row r="508" spans="1:19" ht="15" customHeight="1" x14ac:dyDescent="0.25">
      <c r="A508" s="4" t="s">
        <v>15</v>
      </c>
      <c r="B508" s="1">
        <v>4312848</v>
      </c>
      <c r="C508" s="35" t="s">
        <v>6250</v>
      </c>
      <c r="D508" s="1" t="s">
        <v>4230</v>
      </c>
      <c r="E508" s="1" t="s">
        <v>4231</v>
      </c>
      <c r="F508" s="1" t="s">
        <v>970</v>
      </c>
      <c r="G508" s="4" t="s">
        <v>5617</v>
      </c>
      <c r="H508" s="4" t="s">
        <v>5719</v>
      </c>
      <c r="I508" s="4" t="s">
        <v>5692</v>
      </c>
      <c r="J508" s="2">
        <v>34887</v>
      </c>
      <c r="K508" s="1" t="s">
        <v>19</v>
      </c>
      <c r="L508" s="1" t="s">
        <v>20</v>
      </c>
      <c r="M508" s="1" t="s">
        <v>4232</v>
      </c>
      <c r="N508" s="1" t="s">
        <v>4233</v>
      </c>
      <c r="O508" s="1" t="s">
        <v>23</v>
      </c>
      <c r="P508" s="1" t="s">
        <v>4234</v>
      </c>
      <c r="Q508" s="1">
        <f>31-631255962</f>
        <v>-631255931</v>
      </c>
      <c r="R508" s="1">
        <v>2013</v>
      </c>
    </row>
    <row r="509" spans="1:19" ht="15" customHeight="1" x14ac:dyDescent="0.25">
      <c r="A509" s="4" t="s">
        <v>15</v>
      </c>
      <c r="B509" s="1">
        <v>4234332</v>
      </c>
      <c r="C509" s="35" t="s">
        <v>6251</v>
      </c>
      <c r="D509" s="29" t="s">
        <v>2499</v>
      </c>
      <c r="E509" s="1" t="s">
        <v>2500</v>
      </c>
      <c r="F509" s="1" t="s">
        <v>2501</v>
      </c>
      <c r="G509" s="4" t="s">
        <v>5617</v>
      </c>
      <c r="H509" s="4" t="s">
        <v>5719</v>
      </c>
      <c r="I509" s="4" t="s">
        <v>5692</v>
      </c>
      <c r="J509" s="2">
        <v>33783</v>
      </c>
      <c r="K509" s="1" t="s">
        <v>19</v>
      </c>
      <c r="L509" s="1" t="s">
        <v>111</v>
      </c>
      <c r="M509" s="1" t="s">
        <v>2502</v>
      </c>
      <c r="N509" s="1" t="s">
        <v>2503</v>
      </c>
      <c r="O509" s="1" t="s">
        <v>23</v>
      </c>
      <c r="P509" s="1" t="s">
        <v>2504</v>
      </c>
      <c r="Q509" s="1">
        <f>31-652214926</f>
        <v>-652214895</v>
      </c>
      <c r="R509" s="1">
        <v>2012</v>
      </c>
      <c r="S509" s="1" t="s">
        <v>88</v>
      </c>
    </row>
    <row r="510" spans="1:19" ht="15" customHeight="1" x14ac:dyDescent="0.25">
      <c r="A510" s="4" t="s">
        <v>15</v>
      </c>
      <c r="B510" s="1">
        <v>4284178</v>
      </c>
      <c r="C510" s="35" t="s">
        <v>6252</v>
      </c>
      <c r="D510" s="29" t="s">
        <v>2477</v>
      </c>
      <c r="E510" s="1" t="s">
        <v>2478</v>
      </c>
      <c r="F510" s="1" t="s">
        <v>1442</v>
      </c>
      <c r="G510" s="4" t="s">
        <v>5617</v>
      </c>
      <c r="H510" s="4" t="s">
        <v>5719</v>
      </c>
      <c r="I510" s="4" t="s">
        <v>5692</v>
      </c>
      <c r="J510" s="2">
        <v>34249</v>
      </c>
      <c r="K510" s="1" t="s">
        <v>19</v>
      </c>
      <c r="L510" s="1" t="s">
        <v>20</v>
      </c>
      <c r="M510" s="1" t="s">
        <v>2479</v>
      </c>
      <c r="N510" s="1" t="s">
        <v>2480</v>
      </c>
      <c r="O510" s="1" t="s">
        <v>23</v>
      </c>
      <c r="P510" s="1" t="s">
        <v>2481</v>
      </c>
      <c r="Q510" s="1">
        <f>31-623499538</f>
        <v>-623499507</v>
      </c>
      <c r="R510" s="1">
        <v>2013</v>
      </c>
    </row>
    <row r="511" spans="1:19" ht="15" customHeight="1" x14ac:dyDescent="0.25">
      <c r="A511" s="4" t="s">
        <v>15</v>
      </c>
      <c r="B511" s="1">
        <v>4223373</v>
      </c>
      <c r="C511" s="35" t="s">
        <v>6253</v>
      </c>
      <c r="D511" s="1" t="s">
        <v>5725</v>
      </c>
      <c r="E511" s="1" t="s">
        <v>5726</v>
      </c>
      <c r="F511" s="1" t="s">
        <v>230</v>
      </c>
      <c r="G511" s="4" t="s">
        <v>5617</v>
      </c>
      <c r="H511" s="4" t="s">
        <v>5719</v>
      </c>
      <c r="I511" s="4" t="s">
        <v>5692</v>
      </c>
      <c r="J511" s="2">
        <v>34254</v>
      </c>
      <c r="K511" s="1" t="s">
        <v>19</v>
      </c>
      <c r="L511" s="1" t="s">
        <v>20</v>
      </c>
      <c r="R511" s="1">
        <v>2013</v>
      </c>
      <c r="S511" s="1" t="s">
        <v>5230</v>
      </c>
    </row>
    <row r="512" spans="1:19" ht="15" customHeight="1" x14ac:dyDescent="0.25">
      <c r="A512" s="4" t="s">
        <v>15</v>
      </c>
      <c r="B512" s="1">
        <v>4272730</v>
      </c>
      <c r="C512" s="35" t="s">
        <v>6254</v>
      </c>
      <c r="D512" s="29" t="s">
        <v>2482</v>
      </c>
      <c r="E512" s="1" t="s">
        <v>2483</v>
      </c>
      <c r="F512" s="1" t="s">
        <v>1417</v>
      </c>
      <c r="G512" s="4" t="s">
        <v>5617</v>
      </c>
      <c r="H512" s="4" t="s">
        <v>5719</v>
      </c>
      <c r="I512" s="4" t="s">
        <v>5692</v>
      </c>
      <c r="J512" s="2">
        <v>34424</v>
      </c>
      <c r="K512" s="1" t="s">
        <v>19</v>
      </c>
      <c r="L512" s="1" t="s">
        <v>20</v>
      </c>
      <c r="M512" s="1" t="s">
        <v>2484</v>
      </c>
      <c r="N512" s="1" t="s">
        <v>2485</v>
      </c>
      <c r="O512" s="1" t="s">
        <v>23</v>
      </c>
      <c r="P512" s="1" t="s">
        <v>2486</v>
      </c>
      <c r="Q512" s="1">
        <f>31-610732774</f>
        <v>-610732743</v>
      </c>
      <c r="R512" s="1">
        <v>2013</v>
      </c>
    </row>
    <row r="513" spans="1:19" ht="15" customHeight="1" x14ac:dyDescent="0.25">
      <c r="A513" s="4" t="s">
        <v>15</v>
      </c>
      <c r="B513" s="1">
        <v>4221605</v>
      </c>
      <c r="C513" s="35" t="s">
        <v>6255</v>
      </c>
      <c r="D513" s="29" t="s">
        <v>2487</v>
      </c>
      <c r="E513" s="1" t="s">
        <v>2488</v>
      </c>
      <c r="F513" s="1" t="s">
        <v>2489</v>
      </c>
      <c r="G513" s="4" t="s">
        <v>5617</v>
      </c>
      <c r="H513" s="4" t="s">
        <v>5719</v>
      </c>
      <c r="I513" s="4" t="s">
        <v>5692</v>
      </c>
      <c r="J513" s="2">
        <v>34305</v>
      </c>
      <c r="K513" s="1" t="s">
        <v>19</v>
      </c>
      <c r="L513" s="1" t="s">
        <v>20</v>
      </c>
      <c r="M513" s="1" t="s">
        <v>2490</v>
      </c>
      <c r="N513" s="1" t="s">
        <v>2491</v>
      </c>
      <c r="O513" s="1" t="s">
        <v>23</v>
      </c>
      <c r="P513" s="1" t="s">
        <v>2492</v>
      </c>
      <c r="Q513" s="1">
        <f>31-620906512</f>
        <v>-620906481</v>
      </c>
      <c r="R513" s="1">
        <v>2012</v>
      </c>
      <c r="S513" s="1" t="s">
        <v>88</v>
      </c>
    </row>
    <row r="514" spans="1:19" ht="15" customHeight="1" x14ac:dyDescent="0.25">
      <c r="A514" s="4" t="s">
        <v>15</v>
      </c>
      <c r="B514" s="1">
        <v>4308492</v>
      </c>
      <c r="C514" s="35" t="s">
        <v>6256</v>
      </c>
      <c r="D514" s="29" t="s">
        <v>2493</v>
      </c>
      <c r="E514" s="1" t="s">
        <v>2494</v>
      </c>
      <c r="F514" s="1" t="s">
        <v>156</v>
      </c>
      <c r="G514" s="4" t="s">
        <v>5617</v>
      </c>
      <c r="H514" s="4" t="s">
        <v>5719</v>
      </c>
      <c r="I514" s="4" t="s">
        <v>5692</v>
      </c>
      <c r="J514" s="2">
        <v>34598</v>
      </c>
      <c r="K514" s="1" t="s">
        <v>19</v>
      </c>
      <c r="L514" s="1" t="s">
        <v>20</v>
      </c>
      <c r="M514" s="1" t="s">
        <v>2495</v>
      </c>
      <c r="N514" s="1" t="s">
        <v>2496</v>
      </c>
      <c r="O514" s="1" t="s">
        <v>23</v>
      </c>
      <c r="P514" s="1" t="s">
        <v>2497</v>
      </c>
      <c r="Q514" s="1">
        <f>31-621364356</f>
        <v>-621364325</v>
      </c>
      <c r="R514" s="1">
        <v>2013</v>
      </c>
    </row>
    <row r="515" spans="1:19" ht="15" customHeight="1" x14ac:dyDescent="0.25">
      <c r="A515" s="4" t="s">
        <v>15</v>
      </c>
      <c r="B515" s="1">
        <v>4294394</v>
      </c>
      <c r="C515" s="35" t="s">
        <v>6257</v>
      </c>
      <c r="D515" s="29" t="s">
        <v>2505</v>
      </c>
      <c r="E515" s="1" t="s">
        <v>2506</v>
      </c>
      <c r="F515" s="1" t="s">
        <v>2507</v>
      </c>
      <c r="G515" s="4" t="s">
        <v>5618</v>
      </c>
      <c r="H515" s="4" t="s">
        <v>5719</v>
      </c>
      <c r="I515" s="4" t="s">
        <v>5692</v>
      </c>
      <c r="J515" s="2">
        <v>34835</v>
      </c>
      <c r="K515" s="1" t="s">
        <v>19</v>
      </c>
      <c r="L515" s="1" t="s">
        <v>20</v>
      </c>
      <c r="M515" s="1" t="s">
        <v>2508</v>
      </c>
      <c r="N515" s="1" t="s">
        <v>2509</v>
      </c>
      <c r="O515" s="1" t="s">
        <v>23</v>
      </c>
      <c r="P515" s="1" t="s">
        <v>2510</v>
      </c>
      <c r="Q515" s="1">
        <f>31-681618969</f>
        <v>-681618938</v>
      </c>
      <c r="R515" s="1">
        <v>2013</v>
      </c>
    </row>
    <row r="516" spans="1:19" ht="15" customHeight="1" x14ac:dyDescent="0.25">
      <c r="A516" s="4" t="s">
        <v>15</v>
      </c>
      <c r="B516" s="1">
        <v>4216652</v>
      </c>
      <c r="C516" s="35" t="s">
        <v>6258</v>
      </c>
      <c r="D516" s="29" t="s">
        <v>2544</v>
      </c>
      <c r="E516" s="1" t="s">
        <v>2545</v>
      </c>
      <c r="F516" s="1" t="s">
        <v>2546</v>
      </c>
      <c r="G516" s="4" t="s">
        <v>5618</v>
      </c>
      <c r="H516" s="4" t="s">
        <v>5719</v>
      </c>
      <c r="I516" s="4" t="s">
        <v>5692</v>
      </c>
      <c r="J516" s="2">
        <v>34312</v>
      </c>
      <c r="K516" s="1" t="s">
        <v>19</v>
      </c>
      <c r="L516" s="1" t="s">
        <v>111</v>
      </c>
      <c r="M516" s="1" t="s">
        <v>2547</v>
      </c>
      <c r="N516" s="1" t="s">
        <v>2548</v>
      </c>
      <c r="O516" s="1" t="s">
        <v>23</v>
      </c>
      <c r="P516" s="1" t="s">
        <v>2549</v>
      </c>
      <c r="Q516" s="1">
        <f>31-622009747</f>
        <v>-622009716</v>
      </c>
      <c r="R516" s="1">
        <v>2012</v>
      </c>
      <c r="S516" s="1" t="s">
        <v>5236</v>
      </c>
    </row>
    <row r="517" spans="1:19" ht="15" customHeight="1" x14ac:dyDescent="0.25">
      <c r="A517" s="4" t="s">
        <v>15</v>
      </c>
      <c r="B517" s="1">
        <v>4276914</v>
      </c>
      <c r="C517" s="35" t="s">
        <v>6259</v>
      </c>
      <c r="D517" s="29" t="s">
        <v>2511</v>
      </c>
      <c r="E517" s="1" t="s">
        <v>2512</v>
      </c>
      <c r="F517" s="1" t="s">
        <v>2513</v>
      </c>
      <c r="G517" s="4" t="s">
        <v>5618</v>
      </c>
      <c r="H517" s="4" t="s">
        <v>5719</v>
      </c>
      <c r="I517" s="4" t="s">
        <v>5692</v>
      </c>
      <c r="J517" s="2">
        <v>34796</v>
      </c>
      <c r="K517" s="1" t="s">
        <v>19</v>
      </c>
      <c r="L517" s="1" t="s">
        <v>20</v>
      </c>
      <c r="M517" s="1" t="s">
        <v>2514</v>
      </c>
      <c r="N517" s="1" t="s">
        <v>2515</v>
      </c>
      <c r="O517" s="1" t="s">
        <v>2285</v>
      </c>
      <c r="P517" s="1" t="s">
        <v>2516</v>
      </c>
      <c r="Q517" s="1">
        <f>44-7768699480</f>
        <v>-7768699436</v>
      </c>
      <c r="R517" s="1">
        <v>2013</v>
      </c>
    </row>
    <row r="518" spans="1:19" ht="15" customHeight="1" x14ac:dyDescent="0.25">
      <c r="A518" s="4" t="s">
        <v>15</v>
      </c>
      <c r="B518" s="1">
        <v>4229495</v>
      </c>
      <c r="C518" s="35" t="s">
        <v>6260</v>
      </c>
      <c r="D518" s="29" t="s">
        <v>2323</v>
      </c>
      <c r="E518" s="1" t="s">
        <v>2517</v>
      </c>
      <c r="F518" s="1" t="s">
        <v>2518</v>
      </c>
      <c r="G518" s="4" t="s">
        <v>5618</v>
      </c>
      <c r="H518" s="4" t="s">
        <v>5719</v>
      </c>
      <c r="I518" s="4" t="s">
        <v>5692</v>
      </c>
      <c r="J518" s="2">
        <v>34091</v>
      </c>
      <c r="K518" s="1" t="s">
        <v>19</v>
      </c>
      <c r="L518" s="1" t="s">
        <v>20</v>
      </c>
      <c r="M518" s="1" t="s">
        <v>2519</v>
      </c>
      <c r="N518" s="1" t="s">
        <v>2520</v>
      </c>
      <c r="O518" s="1" t="s">
        <v>23</v>
      </c>
      <c r="P518" s="1" t="s">
        <v>2521</v>
      </c>
      <c r="Q518" s="1">
        <f>31-616361423</f>
        <v>-616361392</v>
      </c>
      <c r="R518" s="1">
        <v>2012</v>
      </c>
      <c r="S518" s="1" t="s">
        <v>88</v>
      </c>
    </row>
    <row r="519" spans="1:19" ht="15" customHeight="1" x14ac:dyDescent="0.25">
      <c r="A519" s="4" t="s">
        <v>15</v>
      </c>
      <c r="B519" s="1">
        <v>4226992</v>
      </c>
      <c r="C519" s="35" t="s">
        <v>6261</v>
      </c>
      <c r="D519" s="29" t="s">
        <v>2522</v>
      </c>
      <c r="E519" s="1" t="s">
        <v>2523</v>
      </c>
      <c r="F519" s="1" t="s">
        <v>156</v>
      </c>
      <c r="G519" s="4" t="s">
        <v>5618</v>
      </c>
      <c r="H519" s="4" t="s">
        <v>5719</v>
      </c>
      <c r="I519" s="4" t="s">
        <v>5692</v>
      </c>
      <c r="J519" s="2">
        <v>34473</v>
      </c>
      <c r="K519" s="1" t="s">
        <v>19</v>
      </c>
      <c r="L519" s="1" t="s">
        <v>20</v>
      </c>
      <c r="M519" s="1" t="s">
        <v>2524</v>
      </c>
      <c r="N519" s="1" t="s">
        <v>2525</v>
      </c>
      <c r="O519" s="1" t="s">
        <v>23</v>
      </c>
      <c r="P519" s="1" t="s">
        <v>2526</v>
      </c>
      <c r="Q519" s="1">
        <f>31-640916603</f>
        <v>-640916572</v>
      </c>
      <c r="R519" s="1">
        <v>2012</v>
      </c>
      <c r="S519" s="1" t="s">
        <v>88</v>
      </c>
    </row>
    <row r="520" spans="1:19" ht="15" customHeight="1" x14ac:dyDescent="0.25">
      <c r="A520" s="4" t="s">
        <v>15</v>
      </c>
      <c r="B520" s="1">
        <v>4303660</v>
      </c>
      <c r="C520" s="35" t="s">
        <v>6262</v>
      </c>
      <c r="D520" s="29" t="s">
        <v>2527</v>
      </c>
      <c r="E520" s="1" t="s">
        <v>2528</v>
      </c>
      <c r="F520" s="1" t="s">
        <v>2529</v>
      </c>
      <c r="G520" s="4" t="s">
        <v>5618</v>
      </c>
      <c r="H520" s="4" t="s">
        <v>5719</v>
      </c>
      <c r="I520" s="4" t="s">
        <v>5692</v>
      </c>
      <c r="J520" s="2">
        <v>34365</v>
      </c>
      <c r="K520" s="1" t="s">
        <v>19</v>
      </c>
      <c r="L520" s="1" t="s">
        <v>20</v>
      </c>
      <c r="M520" s="1" t="s">
        <v>2530</v>
      </c>
      <c r="N520" s="1" t="s">
        <v>2531</v>
      </c>
      <c r="O520" s="1" t="s">
        <v>23</v>
      </c>
      <c r="P520" s="1" t="s">
        <v>2532</v>
      </c>
      <c r="Q520" s="1">
        <f>31-657854686</f>
        <v>-657854655</v>
      </c>
      <c r="R520" s="1">
        <v>2013</v>
      </c>
    </row>
    <row r="521" spans="1:19" ht="15" customHeight="1" x14ac:dyDescent="0.25">
      <c r="A521" s="4" t="s">
        <v>15</v>
      </c>
      <c r="B521" s="1">
        <v>4299124</v>
      </c>
      <c r="C521" s="35" t="s">
        <v>6263</v>
      </c>
      <c r="D521" s="29" t="s">
        <v>2533</v>
      </c>
      <c r="E521" s="1" t="s">
        <v>2534</v>
      </c>
      <c r="F521" s="1" t="s">
        <v>1507</v>
      </c>
      <c r="G521" s="4" t="s">
        <v>5618</v>
      </c>
      <c r="H521" s="4" t="s">
        <v>5719</v>
      </c>
      <c r="I521" s="4" t="s">
        <v>5692</v>
      </c>
      <c r="J521" s="2">
        <v>34948</v>
      </c>
      <c r="K521" s="1" t="s">
        <v>19</v>
      </c>
      <c r="L521" s="1" t="s">
        <v>20</v>
      </c>
      <c r="M521" s="1" t="s">
        <v>2535</v>
      </c>
      <c r="N521" s="1" t="s">
        <v>2536</v>
      </c>
      <c r="O521" s="1" t="s">
        <v>23</v>
      </c>
      <c r="P521" s="1" t="s">
        <v>2537</v>
      </c>
      <c r="Q521" s="1">
        <f>31-650841184</f>
        <v>-650841153</v>
      </c>
      <c r="R521" s="1">
        <v>2013</v>
      </c>
    </row>
    <row r="522" spans="1:19" ht="15" customHeight="1" x14ac:dyDescent="0.25">
      <c r="A522" s="4" t="s">
        <v>15</v>
      </c>
      <c r="B522" s="1">
        <v>4329090</v>
      </c>
      <c r="C522" s="35" t="s">
        <v>6264</v>
      </c>
      <c r="D522" s="29" t="s">
        <v>2538</v>
      </c>
      <c r="E522" s="1" t="s">
        <v>2539</v>
      </c>
      <c r="F522" s="1" t="s">
        <v>2540</v>
      </c>
      <c r="G522" s="4" t="s">
        <v>5618</v>
      </c>
      <c r="H522" s="4" t="s">
        <v>5719</v>
      </c>
      <c r="I522" s="4" t="s">
        <v>5692</v>
      </c>
      <c r="J522" s="2">
        <v>34400</v>
      </c>
      <c r="K522" s="1" t="s">
        <v>19</v>
      </c>
      <c r="L522" s="1" t="s">
        <v>20</v>
      </c>
      <c r="M522" s="1" t="s">
        <v>2541</v>
      </c>
      <c r="N522" s="1" t="s">
        <v>2542</v>
      </c>
      <c r="O522" s="1" t="s">
        <v>23</v>
      </c>
      <c r="P522" s="1" t="s">
        <v>2543</v>
      </c>
      <c r="Q522" s="1">
        <f>31-653377790</f>
        <v>-653377759</v>
      </c>
      <c r="R522" s="1">
        <v>2013</v>
      </c>
    </row>
    <row r="523" spans="1:19" ht="15" customHeight="1" x14ac:dyDescent="0.25">
      <c r="A523" s="4" t="s">
        <v>15</v>
      </c>
      <c r="B523" s="1">
        <v>4213815</v>
      </c>
      <c r="C523" s="35" t="s">
        <v>6265</v>
      </c>
      <c r="D523" s="29" t="s">
        <v>2550</v>
      </c>
      <c r="E523" s="1" t="s">
        <v>2551</v>
      </c>
      <c r="F523" s="1" t="s">
        <v>68</v>
      </c>
      <c r="G523" s="4" t="s">
        <v>5619</v>
      </c>
      <c r="H523" s="4" t="s">
        <v>5719</v>
      </c>
      <c r="I523" s="4" t="s">
        <v>5693</v>
      </c>
      <c r="J523" s="2">
        <v>34375</v>
      </c>
      <c r="K523" s="1" t="s">
        <v>19</v>
      </c>
      <c r="L523" s="1" t="s">
        <v>20</v>
      </c>
      <c r="M523" s="1" t="s">
        <v>2552</v>
      </c>
      <c r="N523" s="1" t="s">
        <v>2553</v>
      </c>
      <c r="O523" s="1" t="s">
        <v>23</v>
      </c>
      <c r="P523" s="1" t="s">
        <v>2554</v>
      </c>
      <c r="Q523" s="1">
        <f>31-655758561</f>
        <v>-655758530</v>
      </c>
      <c r="R523" s="1">
        <v>2012</v>
      </c>
      <c r="S523" s="1" t="s">
        <v>88</v>
      </c>
    </row>
    <row r="524" spans="1:19" ht="15" customHeight="1" x14ac:dyDescent="0.25">
      <c r="A524" s="4" t="s">
        <v>15</v>
      </c>
      <c r="B524" s="1">
        <v>4299752</v>
      </c>
      <c r="C524" s="35" t="s">
        <v>6266</v>
      </c>
      <c r="D524" s="29" t="s">
        <v>2555</v>
      </c>
      <c r="E524" s="1" t="s">
        <v>2556</v>
      </c>
      <c r="F524" s="1" t="s">
        <v>156</v>
      </c>
      <c r="G524" s="4" t="s">
        <v>5619</v>
      </c>
      <c r="H524" s="4" t="s">
        <v>5719</v>
      </c>
      <c r="I524" s="4" t="s">
        <v>5693</v>
      </c>
      <c r="J524" s="2">
        <v>34366</v>
      </c>
      <c r="K524" s="1" t="s">
        <v>19</v>
      </c>
      <c r="L524" s="1" t="s">
        <v>20</v>
      </c>
      <c r="M524" s="1" t="s">
        <v>2557</v>
      </c>
      <c r="N524" s="1" t="s">
        <v>2558</v>
      </c>
      <c r="O524" s="1" t="s">
        <v>23</v>
      </c>
      <c r="P524" s="1" t="s">
        <v>2559</v>
      </c>
      <c r="Q524" s="1">
        <f>31-640209596</f>
        <v>-640209565</v>
      </c>
      <c r="R524" s="1">
        <v>2013</v>
      </c>
    </row>
    <row r="525" spans="1:19" ht="15" customHeight="1" x14ac:dyDescent="0.25">
      <c r="A525" s="4" t="s">
        <v>15</v>
      </c>
      <c r="B525" s="1">
        <v>4293533</v>
      </c>
      <c r="C525" s="35" t="s">
        <v>6267</v>
      </c>
      <c r="D525" s="29" t="s">
        <v>2560</v>
      </c>
      <c r="E525" s="1" t="s">
        <v>2561</v>
      </c>
      <c r="F525" s="1" t="s">
        <v>1538</v>
      </c>
      <c r="G525" s="4" t="s">
        <v>5619</v>
      </c>
      <c r="H525" s="4" t="s">
        <v>5719</v>
      </c>
      <c r="I525" s="4" t="s">
        <v>5693</v>
      </c>
      <c r="J525" s="2">
        <v>34832</v>
      </c>
      <c r="K525" s="1" t="s">
        <v>19</v>
      </c>
      <c r="L525" s="1" t="s">
        <v>20</v>
      </c>
      <c r="M525" s="1" t="s">
        <v>2562</v>
      </c>
      <c r="N525" s="1" t="s">
        <v>2563</v>
      </c>
      <c r="O525" s="1" t="s">
        <v>23</v>
      </c>
      <c r="P525" s="1" t="s">
        <v>2564</v>
      </c>
      <c r="Q525" s="1">
        <f>31-653499741</f>
        <v>-653499710</v>
      </c>
      <c r="R525" s="1">
        <v>2013</v>
      </c>
    </row>
    <row r="526" spans="1:19" ht="15" customHeight="1" x14ac:dyDescent="0.25">
      <c r="A526" s="4" t="s">
        <v>15</v>
      </c>
      <c r="B526" s="1">
        <v>4206460</v>
      </c>
      <c r="C526" s="35" t="s">
        <v>6268</v>
      </c>
      <c r="D526" s="29" t="s">
        <v>2565</v>
      </c>
      <c r="E526" s="1" t="s">
        <v>2566</v>
      </c>
      <c r="F526" s="1" t="s">
        <v>823</v>
      </c>
      <c r="G526" s="4" t="s">
        <v>5619</v>
      </c>
      <c r="H526" s="4" t="s">
        <v>5719</v>
      </c>
      <c r="I526" s="4" t="s">
        <v>5693</v>
      </c>
      <c r="J526" s="2">
        <v>34307</v>
      </c>
      <c r="K526" s="1" t="s">
        <v>19</v>
      </c>
      <c r="L526" s="1" t="s">
        <v>20</v>
      </c>
      <c r="M526" s="1" t="s">
        <v>2567</v>
      </c>
      <c r="N526" s="1" t="s">
        <v>2568</v>
      </c>
      <c r="O526" s="1" t="s">
        <v>23</v>
      </c>
      <c r="P526" s="1" t="s">
        <v>2569</v>
      </c>
      <c r="Q526" s="1">
        <f>31-614109437</f>
        <v>-614109406</v>
      </c>
      <c r="R526" s="1">
        <v>2013</v>
      </c>
    </row>
    <row r="527" spans="1:19" ht="15" customHeight="1" x14ac:dyDescent="0.25">
      <c r="A527" s="4" t="s">
        <v>15</v>
      </c>
      <c r="B527" s="1">
        <v>4333438</v>
      </c>
      <c r="C527" s="35" t="s">
        <v>6269</v>
      </c>
      <c r="D527" s="29" t="s">
        <v>2570</v>
      </c>
      <c r="E527" s="1" t="s">
        <v>2571</v>
      </c>
      <c r="F527" s="1" t="s">
        <v>348</v>
      </c>
      <c r="G527" s="4" t="s">
        <v>5619</v>
      </c>
      <c r="H527" s="4" t="s">
        <v>5719</v>
      </c>
      <c r="I527" s="4" t="s">
        <v>5693</v>
      </c>
      <c r="J527" s="2">
        <v>34813</v>
      </c>
      <c r="K527" s="1" t="s">
        <v>19</v>
      </c>
      <c r="L527" s="1" t="s">
        <v>20</v>
      </c>
      <c r="M527" s="1" t="s">
        <v>2572</v>
      </c>
      <c r="N527" s="1" t="s">
        <v>2573</v>
      </c>
      <c r="O527" s="1" t="s">
        <v>23</v>
      </c>
      <c r="P527" s="1" t="s">
        <v>2574</v>
      </c>
      <c r="Q527" s="1">
        <f>31-611025881</f>
        <v>-611025850</v>
      </c>
      <c r="R527" s="1">
        <v>2013</v>
      </c>
    </row>
    <row r="528" spans="1:19" ht="15" customHeight="1" x14ac:dyDescent="0.25">
      <c r="A528" s="4" t="s">
        <v>15</v>
      </c>
      <c r="B528" s="1">
        <v>4311647</v>
      </c>
      <c r="C528" s="35" t="s">
        <v>6270</v>
      </c>
      <c r="D528" s="29" t="s">
        <v>2575</v>
      </c>
      <c r="E528" s="1" t="s">
        <v>2576</v>
      </c>
      <c r="F528" s="1" t="s">
        <v>1582</v>
      </c>
      <c r="G528" s="4" t="s">
        <v>5619</v>
      </c>
      <c r="H528" s="4" t="s">
        <v>5719</v>
      </c>
      <c r="I528" s="4" t="s">
        <v>5693</v>
      </c>
      <c r="J528" s="2">
        <v>34316</v>
      </c>
      <c r="K528" s="1" t="s">
        <v>19</v>
      </c>
      <c r="L528" s="1" t="s">
        <v>20</v>
      </c>
      <c r="M528" s="1" t="s">
        <v>2577</v>
      </c>
      <c r="N528" s="1" t="s">
        <v>2578</v>
      </c>
      <c r="O528" s="1" t="s">
        <v>23</v>
      </c>
      <c r="P528" s="1" t="s">
        <v>2579</v>
      </c>
      <c r="Q528" s="1">
        <f>31-641941450</f>
        <v>-641941419</v>
      </c>
      <c r="R528" s="1">
        <v>2013</v>
      </c>
    </row>
    <row r="529" spans="1:20" ht="15" customHeight="1" x14ac:dyDescent="0.25">
      <c r="A529" s="4" t="s">
        <v>15</v>
      </c>
      <c r="B529" s="1">
        <v>4324323</v>
      </c>
      <c r="C529" s="35" t="s">
        <v>6271</v>
      </c>
      <c r="D529" s="29" t="s">
        <v>2580</v>
      </c>
      <c r="E529" s="1" t="s">
        <v>2581</v>
      </c>
      <c r="F529" s="1" t="s">
        <v>68</v>
      </c>
      <c r="G529" s="4" t="s">
        <v>5619</v>
      </c>
      <c r="H529" s="4" t="s">
        <v>5719</v>
      </c>
      <c r="I529" s="4" t="s">
        <v>5693</v>
      </c>
      <c r="J529" s="2">
        <v>34980</v>
      </c>
      <c r="K529" s="1" t="s">
        <v>19</v>
      </c>
      <c r="L529" s="1" t="s">
        <v>20</v>
      </c>
      <c r="M529" s="1" t="s">
        <v>2582</v>
      </c>
      <c r="N529" s="1" t="s">
        <v>2583</v>
      </c>
      <c r="O529" s="1" t="s">
        <v>23</v>
      </c>
      <c r="P529" s="1" t="s">
        <v>2584</v>
      </c>
      <c r="Q529" s="1">
        <f>31-634478459</f>
        <v>-634478428</v>
      </c>
      <c r="R529" s="1">
        <v>2013</v>
      </c>
    </row>
    <row r="530" spans="1:20" ht="15" customHeight="1" x14ac:dyDescent="0.25">
      <c r="A530" s="4" t="s">
        <v>15</v>
      </c>
      <c r="B530" s="1">
        <v>4327144</v>
      </c>
      <c r="C530" s="35" t="s">
        <v>6273</v>
      </c>
      <c r="D530" s="29" t="s">
        <v>2595</v>
      </c>
      <c r="E530" s="1" t="s">
        <v>2596</v>
      </c>
      <c r="F530" s="1" t="s">
        <v>2597</v>
      </c>
      <c r="G530" s="4" t="s">
        <v>5620</v>
      </c>
      <c r="H530" s="4" t="s">
        <v>5719</v>
      </c>
      <c r="I530" s="4" t="s">
        <v>5693</v>
      </c>
      <c r="J530" s="2">
        <v>33008</v>
      </c>
      <c r="K530" s="1" t="s">
        <v>19</v>
      </c>
      <c r="L530" s="1" t="s">
        <v>20</v>
      </c>
      <c r="M530" s="1" t="s">
        <v>2598</v>
      </c>
      <c r="N530" s="1" t="s">
        <v>2599</v>
      </c>
      <c r="O530" s="1" t="s">
        <v>23</v>
      </c>
      <c r="P530" s="1" t="s">
        <v>2600</v>
      </c>
      <c r="Q530" s="1">
        <f>31-641893686</f>
        <v>-641893655</v>
      </c>
      <c r="R530" s="1">
        <v>2013</v>
      </c>
    </row>
    <row r="531" spans="1:20" ht="15" customHeight="1" x14ac:dyDescent="0.25">
      <c r="A531" s="4" t="s">
        <v>15</v>
      </c>
      <c r="B531" s="1">
        <v>4331206</v>
      </c>
      <c r="C531" s="35" t="s">
        <v>6274</v>
      </c>
      <c r="D531" s="29" t="s">
        <v>2601</v>
      </c>
      <c r="E531" s="1" t="s">
        <v>2602</v>
      </c>
      <c r="F531" s="1" t="s">
        <v>68</v>
      </c>
      <c r="G531" s="4" t="s">
        <v>5620</v>
      </c>
      <c r="H531" s="4" t="s">
        <v>5719</v>
      </c>
      <c r="I531" s="4" t="s">
        <v>5693</v>
      </c>
      <c r="J531" s="2">
        <v>34644</v>
      </c>
      <c r="K531" s="1" t="s">
        <v>19</v>
      </c>
      <c r="L531" s="1" t="s">
        <v>20</v>
      </c>
      <c r="M531" s="1" t="s">
        <v>2603</v>
      </c>
      <c r="N531" s="1" t="s">
        <v>2604</v>
      </c>
      <c r="O531" s="1" t="s">
        <v>23</v>
      </c>
      <c r="P531" s="1" t="s">
        <v>2605</v>
      </c>
      <c r="R531" s="1">
        <v>2013</v>
      </c>
    </row>
    <row r="532" spans="1:20" ht="15" customHeight="1" x14ac:dyDescent="0.25">
      <c r="A532" s="4" t="s">
        <v>15</v>
      </c>
      <c r="B532" s="1">
        <v>4230582</v>
      </c>
      <c r="C532" s="35" t="s">
        <v>6275</v>
      </c>
      <c r="D532" s="29" t="s">
        <v>2591</v>
      </c>
      <c r="E532" s="1" t="s">
        <v>2592</v>
      </c>
      <c r="F532" s="1" t="s">
        <v>2593</v>
      </c>
      <c r="G532" s="4" t="s">
        <v>5620</v>
      </c>
      <c r="H532" s="4" t="s">
        <v>5719</v>
      </c>
      <c r="I532" s="4" t="s">
        <v>5693</v>
      </c>
      <c r="J532" s="2">
        <v>34360</v>
      </c>
      <c r="K532" s="1" t="s">
        <v>19</v>
      </c>
      <c r="L532" s="1" t="s">
        <v>20</v>
      </c>
      <c r="P532" s="1" t="s">
        <v>2594</v>
      </c>
      <c r="Q532" s="1">
        <v>31630727790</v>
      </c>
      <c r="R532" s="1">
        <v>2013</v>
      </c>
      <c r="T532" s="1" t="s">
        <v>5217</v>
      </c>
    </row>
    <row r="533" spans="1:20" ht="15" customHeight="1" x14ac:dyDescent="0.25">
      <c r="A533" s="4" t="s">
        <v>15</v>
      </c>
      <c r="B533" s="1">
        <v>4296702</v>
      </c>
      <c r="C533" s="35" t="s">
        <v>6276</v>
      </c>
      <c r="D533" s="29" t="s">
        <v>2606</v>
      </c>
      <c r="E533" s="1" t="s">
        <v>2607</v>
      </c>
      <c r="F533" s="1" t="s">
        <v>2608</v>
      </c>
      <c r="G533" s="4" t="s">
        <v>5620</v>
      </c>
      <c r="H533" s="4" t="s">
        <v>5719</v>
      </c>
      <c r="I533" s="4" t="s">
        <v>5693</v>
      </c>
      <c r="J533" s="2">
        <v>34848</v>
      </c>
      <c r="K533" s="1" t="s">
        <v>19</v>
      </c>
      <c r="L533" s="1" t="s">
        <v>20</v>
      </c>
      <c r="M533" s="1" t="s">
        <v>2609</v>
      </c>
      <c r="N533" s="1" t="s">
        <v>2610</v>
      </c>
      <c r="O533" s="1" t="s">
        <v>23</v>
      </c>
      <c r="P533" s="1" t="s">
        <v>2611</v>
      </c>
      <c r="Q533" s="1">
        <f>31-622344179</f>
        <v>-622344148</v>
      </c>
      <c r="R533" s="1">
        <v>2013</v>
      </c>
    </row>
    <row r="534" spans="1:20" ht="15" customHeight="1" x14ac:dyDescent="0.25">
      <c r="A534" s="4" t="s">
        <v>15</v>
      </c>
      <c r="B534" s="1">
        <v>4302729</v>
      </c>
      <c r="C534" s="35" t="s">
        <v>6277</v>
      </c>
      <c r="D534" s="29" t="s">
        <v>2612</v>
      </c>
      <c r="E534" s="1" t="s">
        <v>2613</v>
      </c>
      <c r="F534" s="1" t="s">
        <v>2614</v>
      </c>
      <c r="G534" s="4" t="s">
        <v>5620</v>
      </c>
      <c r="H534" s="4" t="s">
        <v>5719</v>
      </c>
      <c r="I534" s="4" t="s">
        <v>5693</v>
      </c>
      <c r="J534" s="2">
        <v>35018</v>
      </c>
      <c r="K534" s="1" t="s">
        <v>19</v>
      </c>
      <c r="L534" s="1" t="s">
        <v>20</v>
      </c>
      <c r="M534" s="1" t="s">
        <v>2615</v>
      </c>
      <c r="N534" s="1" t="s">
        <v>2616</v>
      </c>
      <c r="O534" s="1" t="s">
        <v>23</v>
      </c>
      <c r="P534" s="1" t="s">
        <v>2617</v>
      </c>
      <c r="Q534" s="1">
        <f>31-638123845</f>
        <v>-638123814</v>
      </c>
      <c r="R534" s="1">
        <v>2013</v>
      </c>
    </row>
    <row r="535" spans="1:20" ht="15" customHeight="1" x14ac:dyDescent="0.25">
      <c r="A535" s="4" t="s">
        <v>15</v>
      </c>
      <c r="B535" s="1">
        <v>4205766</v>
      </c>
      <c r="C535" s="35" t="s">
        <v>6278</v>
      </c>
      <c r="D535" s="29" t="s">
        <v>2618</v>
      </c>
      <c r="E535" s="1" t="s">
        <v>2619</v>
      </c>
      <c r="F535" s="1" t="s">
        <v>1442</v>
      </c>
      <c r="G535" s="4" t="s">
        <v>5620</v>
      </c>
      <c r="H535" s="4" t="s">
        <v>5719</v>
      </c>
      <c r="I535" s="4" t="s">
        <v>5693</v>
      </c>
      <c r="J535" s="2">
        <v>34529</v>
      </c>
      <c r="K535" s="1" t="s">
        <v>19</v>
      </c>
      <c r="L535" s="1" t="s">
        <v>20</v>
      </c>
      <c r="M535" s="1" t="s">
        <v>2620</v>
      </c>
      <c r="N535" s="1" t="s">
        <v>2621</v>
      </c>
      <c r="O535" s="1" t="s">
        <v>23</v>
      </c>
      <c r="P535" s="1" t="s">
        <v>2622</v>
      </c>
      <c r="Q535" s="1">
        <f>31-611761713</f>
        <v>-611761682</v>
      </c>
      <c r="R535" s="1">
        <v>2012</v>
      </c>
      <c r="S535" s="1" t="s">
        <v>88</v>
      </c>
    </row>
    <row r="536" spans="1:20" ht="15" customHeight="1" x14ac:dyDescent="0.25">
      <c r="A536" s="4" t="s">
        <v>15</v>
      </c>
      <c r="B536" s="1">
        <v>4300793</v>
      </c>
      <c r="C536" s="35" t="s">
        <v>6279</v>
      </c>
      <c r="D536" s="29" t="s">
        <v>2623</v>
      </c>
      <c r="E536" s="1" t="s">
        <v>2624</v>
      </c>
      <c r="F536" s="1" t="s">
        <v>2625</v>
      </c>
      <c r="G536" s="4" t="s">
        <v>5620</v>
      </c>
      <c r="H536" s="4" t="s">
        <v>5719</v>
      </c>
      <c r="I536" s="4" t="s">
        <v>5693</v>
      </c>
      <c r="J536" s="2">
        <v>34978</v>
      </c>
      <c r="K536" s="1" t="s">
        <v>19</v>
      </c>
      <c r="L536" s="1" t="s">
        <v>20</v>
      </c>
      <c r="M536" s="1" t="s">
        <v>2626</v>
      </c>
      <c r="N536" s="1" t="s">
        <v>2627</v>
      </c>
      <c r="O536" s="1" t="s">
        <v>23</v>
      </c>
      <c r="P536" s="1" t="s">
        <v>2628</v>
      </c>
      <c r="Q536" s="1">
        <f>31-646661142</f>
        <v>-646661111</v>
      </c>
      <c r="R536" s="1">
        <v>2013</v>
      </c>
    </row>
    <row r="537" spans="1:20" ht="15" customHeight="1" x14ac:dyDescent="0.25">
      <c r="A537" s="4" t="s">
        <v>15</v>
      </c>
      <c r="B537" s="1">
        <v>4281497</v>
      </c>
      <c r="C537" s="35" t="s">
        <v>6280</v>
      </c>
      <c r="D537" s="29" t="s">
        <v>2629</v>
      </c>
      <c r="E537" s="1" t="s">
        <v>2630</v>
      </c>
      <c r="F537" s="1" t="s">
        <v>2631</v>
      </c>
      <c r="G537" s="4" t="s">
        <v>5620</v>
      </c>
      <c r="H537" s="4" t="s">
        <v>5719</v>
      </c>
      <c r="I537" s="4" t="s">
        <v>5693</v>
      </c>
      <c r="J537" s="2">
        <v>34078</v>
      </c>
      <c r="K537" s="1" t="s">
        <v>19</v>
      </c>
      <c r="L537" s="1" t="s">
        <v>20</v>
      </c>
      <c r="M537" s="1" t="s">
        <v>2632</v>
      </c>
      <c r="N537" s="1" t="s">
        <v>2633</v>
      </c>
      <c r="O537" s="1" t="s">
        <v>23</v>
      </c>
      <c r="P537" s="1" t="s">
        <v>2634</v>
      </c>
      <c r="Q537" s="1">
        <f>31-623519311</f>
        <v>-623519280</v>
      </c>
      <c r="R537" s="1">
        <v>2013</v>
      </c>
    </row>
    <row r="538" spans="1:20" ht="15" customHeight="1" x14ac:dyDescent="0.25">
      <c r="A538" s="4" t="s">
        <v>15</v>
      </c>
      <c r="B538" s="1">
        <v>4307712</v>
      </c>
      <c r="C538" s="35" t="s">
        <v>6281</v>
      </c>
      <c r="D538" s="29" t="s">
        <v>2671</v>
      </c>
      <c r="E538" s="1" t="s">
        <v>2672</v>
      </c>
      <c r="F538" s="1" t="s">
        <v>2673</v>
      </c>
      <c r="G538" s="4" t="s">
        <v>5621</v>
      </c>
      <c r="H538" s="4" t="s">
        <v>5719</v>
      </c>
      <c r="I538" s="4" t="s">
        <v>5694</v>
      </c>
      <c r="J538" s="2">
        <v>34587</v>
      </c>
      <c r="K538" s="1" t="s">
        <v>19</v>
      </c>
      <c r="L538" s="1" t="s">
        <v>20</v>
      </c>
      <c r="M538" s="1" t="s">
        <v>2674</v>
      </c>
      <c r="N538" s="1" t="s">
        <v>2675</v>
      </c>
      <c r="O538" s="1" t="s">
        <v>23</v>
      </c>
      <c r="P538" s="1" t="s">
        <v>2676</v>
      </c>
      <c r="Q538" s="1">
        <f>31-648402980</f>
        <v>-648402949</v>
      </c>
      <c r="R538" s="1">
        <v>2013</v>
      </c>
    </row>
    <row r="539" spans="1:20" ht="15" customHeight="1" x14ac:dyDescent="0.25">
      <c r="A539" s="4" t="s">
        <v>15</v>
      </c>
      <c r="B539" s="1">
        <v>4237420</v>
      </c>
      <c r="C539" s="35" t="s">
        <v>6282</v>
      </c>
      <c r="D539" s="29" t="s">
        <v>2635</v>
      </c>
      <c r="E539" s="1" t="s">
        <v>2636</v>
      </c>
      <c r="F539" s="1" t="s">
        <v>2637</v>
      </c>
      <c r="G539" s="4" t="s">
        <v>5621</v>
      </c>
      <c r="H539" s="4" t="s">
        <v>5719</v>
      </c>
      <c r="I539" s="4" t="s">
        <v>5694</v>
      </c>
      <c r="J539" s="2">
        <v>34641</v>
      </c>
      <c r="K539" s="1" t="s">
        <v>19</v>
      </c>
      <c r="L539" s="1" t="s">
        <v>20</v>
      </c>
      <c r="M539" s="1" t="s">
        <v>2638</v>
      </c>
      <c r="N539" s="1" t="s">
        <v>2639</v>
      </c>
      <c r="O539" s="1" t="s">
        <v>23</v>
      </c>
      <c r="P539" s="1" t="s">
        <v>2640</v>
      </c>
      <c r="Q539" s="1">
        <f>31-630308227</f>
        <v>-630308196</v>
      </c>
      <c r="R539" s="1">
        <v>2012</v>
      </c>
      <c r="S539" s="1" t="s">
        <v>5232</v>
      </c>
    </row>
    <row r="540" spans="1:20" ht="15" customHeight="1" x14ac:dyDescent="0.25">
      <c r="A540" s="4" t="s">
        <v>15</v>
      </c>
      <c r="B540" s="1">
        <v>4137205</v>
      </c>
      <c r="C540" s="35" t="s">
        <v>6283</v>
      </c>
      <c r="D540" s="29" t="s">
        <v>2641</v>
      </c>
      <c r="E540" s="1" t="s">
        <v>2642</v>
      </c>
      <c r="F540" s="1" t="s">
        <v>2643</v>
      </c>
      <c r="G540" s="4" t="s">
        <v>5621</v>
      </c>
      <c r="H540" s="4" t="s">
        <v>5719</v>
      </c>
      <c r="I540" s="4" t="s">
        <v>5694</v>
      </c>
      <c r="J540" s="2">
        <v>33878</v>
      </c>
      <c r="K540" s="1" t="s">
        <v>19</v>
      </c>
      <c r="L540" s="1" t="s">
        <v>20</v>
      </c>
      <c r="M540" s="1" t="s">
        <v>2644</v>
      </c>
      <c r="N540" s="1" t="s">
        <v>2645</v>
      </c>
      <c r="O540" s="1" t="s">
        <v>23</v>
      </c>
      <c r="P540" s="1" t="s">
        <v>2646</v>
      </c>
      <c r="Q540" s="1">
        <f>31-654987046</f>
        <v>-654987015</v>
      </c>
      <c r="R540" s="1">
        <v>2011</v>
      </c>
      <c r="S540" s="1" t="s">
        <v>5232</v>
      </c>
    </row>
    <row r="541" spans="1:20" ht="15" customHeight="1" x14ac:dyDescent="0.25">
      <c r="A541" s="4" t="s">
        <v>15</v>
      </c>
      <c r="B541" s="1">
        <v>4288254</v>
      </c>
      <c r="C541" s="35" t="s">
        <v>6284</v>
      </c>
      <c r="D541" s="29" t="s">
        <v>2647</v>
      </c>
      <c r="E541" s="1" t="s">
        <v>2648</v>
      </c>
      <c r="F541" s="1" t="s">
        <v>271</v>
      </c>
      <c r="G541" s="4" t="s">
        <v>5621</v>
      </c>
      <c r="H541" s="4" t="s">
        <v>5719</v>
      </c>
      <c r="I541" s="4" t="s">
        <v>5694</v>
      </c>
      <c r="J541" s="2">
        <v>34520</v>
      </c>
      <c r="K541" s="1" t="s">
        <v>19</v>
      </c>
      <c r="L541" s="1" t="s">
        <v>20</v>
      </c>
      <c r="M541" s="1" t="s">
        <v>2649</v>
      </c>
      <c r="N541" s="1" t="s">
        <v>2650</v>
      </c>
      <c r="O541" s="1" t="s">
        <v>23</v>
      </c>
      <c r="P541" s="1" t="s">
        <v>2651</v>
      </c>
      <c r="Q541" s="1">
        <f>31-623555281</f>
        <v>-623555250</v>
      </c>
      <c r="R541" s="1">
        <v>2013</v>
      </c>
    </row>
    <row r="542" spans="1:20" ht="15" customHeight="1" x14ac:dyDescent="0.25">
      <c r="A542" s="4" t="s">
        <v>15</v>
      </c>
      <c r="B542" s="1">
        <v>4318196</v>
      </c>
      <c r="C542" s="35" t="s">
        <v>6285</v>
      </c>
      <c r="D542" s="29" t="s">
        <v>2652</v>
      </c>
      <c r="E542" s="1" t="s">
        <v>2653</v>
      </c>
      <c r="F542" s="1" t="s">
        <v>1501</v>
      </c>
      <c r="G542" s="4" t="s">
        <v>5621</v>
      </c>
      <c r="H542" s="4" t="s">
        <v>5719</v>
      </c>
      <c r="I542" s="4" t="s">
        <v>5694</v>
      </c>
      <c r="J542" s="2">
        <v>34843</v>
      </c>
      <c r="K542" s="1" t="s">
        <v>19</v>
      </c>
      <c r="L542" s="1" t="s">
        <v>20</v>
      </c>
      <c r="M542" s="1" t="s">
        <v>2654</v>
      </c>
      <c r="N542" s="1" t="s">
        <v>2655</v>
      </c>
      <c r="O542" s="1" t="s">
        <v>23</v>
      </c>
      <c r="P542" s="1" t="s">
        <v>2656</v>
      </c>
      <c r="Q542" s="1">
        <f>31-618401641</f>
        <v>-618401610</v>
      </c>
      <c r="R542" s="1">
        <v>2013</v>
      </c>
    </row>
    <row r="543" spans="1:20" ht="15" customHeight="1" x14ac:dyDescent="0.25">
      <c r="A543" s="4" t="s">
        <v>15</v>
      </c>
      <c r="B543" s="1">
        <v>4307437</v>
      </c>
      <c r="C543" s="35" t="s">
        <v>6286</v>
      </c>
      <c r="D543" s="29" t="s">
        <v>2657</v>
      </c>
      <c r="E543" s="1" t="s">
        <v>2658</v>
      </c>
      <c r="F543" s="1" t="s">
        <v>242</v>
      </c>
      <c r="G543" s="4" t="s">
        <v>5621</v>
      </c>
      <c r="H543" s="30" t="s">
        <v>5719</v>
      </c>
      <c r="I543" s="30" t="s">
        <v>5694</v>
      </c>
      <c r="J543" s="2">
        <v>34306</v>
      </c>
      <c r="K543" s="1" t="s">
        <v>19</v>
      </c>
      <c r="L543" s="1" t="s">
        <v>20</v>
      </c>
      <c r="M543" s="1" t="s">
        <v>2659</v>
      </c>
      <c r="N543" s="1" t="s">
        <v>2660</v>
      </c>
      <c r="O543" s="1" t="s">
        <v>23</v>
      </c>
      <c r="P543" s="1" t="s">
        <v>2661</v>
      </c>
      <c r="Q543" s="1">
        <f>31-617113044</f>
        <v>-617113013</v>
      </c>
      <c r="R543" s="1">
        <v>2013</v>
      </c>
    </row>
    <row r="544" spans="1:20" ht="15" customHeight="1" x14ac:dyDescent="0.25">
      <c r="A544" s="4" t="s">
        <v>15</v>
      </c>
      <c r="B544" s="1">
        <v>4247205</v>
      </c>
      <c r="C544" s="35" t="s">
        <v>6287</v>
      </c>
      <c r="D544" s="29" t="s">
        <v>2662</v>
      </c>
      <c r="E544" s="1" t="s">
        <v>2663</v>
      </c>
      <c r="F544" s="1" t="s">
        <v>1310</v>
      </c>
      <c r="G544" s="4" t="s">
        <v>5621</v>
      </c>
      <c r="H544" s="4" t="s">
        <v>5719</v>
      </c>
      <c r="I544" s="4" t="s">
        <v>5694</v>
      </c>
      <c r="J544" s="2">
        <v>34515</v>
      </c>
      <c r="K544" s="1" t="s">
        <v>19</v>
      </c>
      <c r="L544" s="1" t="s">
        <v>20</v>
      </c>
      <c r="P544" s="1" t="s">
        <v>2664</v>
      </c>
      <c r="Q544" s="1">
        <v>631953835</v>
      </c>
      <c r="R544" s="1">
        <v>2013</v>
      </c>
      <c r="T544" s="1" t="s">
        <v>5217</v>
      </c>
    </row>
    <row r="545" spans="1:20" ht="15" customHeight="1" x14ac:dyDescent="0.25">
      <c r="A545" s="4" t="s">
        <v>15</v>
      </c>
      <c r="B545" s="1">
        <v>4305434</v>
      </c>
      <c r="C545" s="35" t="s">
        <v>6288</v>
      </c>
      <c r="D545" s="29" t="s">
        <v>2665</v>
      </c>
      <c r="E545" s="1" t="s">
        <v>2666</v>
      </c>
      <c r="F545" s="1" t="s">
        <v>2667</v>
      </c>
      <c r="G545" s="4" t="s">
        <v>5621</v>
      </c>
      <c r="H545" s="4" t="s">
        <v>5719</v>
      </c>
      <c r="I545" s="4" t="s">
        <v>5694</v>
      </c>
      <c r="J545" s="2">
        <v>34591</v>
      </c>
      <c r="K545" s="1" t="s">
        <v>19</v>
      </c>
      <c r="L545" s="1" t="s">
        <v>20</v>
      </c>
      <c r="M545" s="1" t="s">
        <v>2668</v>
      </c>
      <c r="N545" s="1" t="s">
        <v>2669</v>
      </c>
      <c r="O545" s="1" t="s">
        <v>23</v>
      </c>
      <c r="P545" s="1" t="s">
        <v>2670</v>
      </c>
      <c r="Q545" s="1">
        <f>31-618859269</f>
        <v>-618859238</v>
      </c>
      <c r="R545" s="1">
        <v>2013</v>
      </c>
    </row>
    <row r="546" spans="1:20" ht="15" customHeight="1" x14ac:dyDescent="0.25">
      <c r="A546" s="4" t="s">
        <v>15</v>
      </c>
      <c r="B546" s="1">
        <v>4232585</v>
      </c>
      <c r="C546" s="35" t="s">
        <v>6290</v>
      </c>
      <c r="D546" s="29" t="s">
        <v>2677</v>
      </c>
      <c r="E546" s="1" t="s">
        <v>2678</v>
      </c>
      <c r="F546" s="1" t="s">
        <v>2679</v>
      </c>
      <c r="G546" s="4" t="s">
        <v>5622</v>
      </c>
      <c r="H546" s="4" t="s">
        <v>5719</v>
      </c>
      <c r="I546" s="4" t="s">
        <v>5694</v>
      </c>
      <c r="J546" s="2">
        <v>34454</v>
      </c>
      <c r="K546" s="1" t="s">
        <v>19</v>
      </c>
      <c r="L546" s="1" t="s">
        <v>20</v>
      </c>
      <c r="M546" s="1" t="s">
        <v>2680</v>
      </c>
      <c r="O546" s="1" t="s">
        <v>2681</v>
      </c>
      <c r="P546" s="1" t="s">
        <v>2682</v>
      </c>
      <c r="Q546" s="1">
        <f>297-5696925</f>
        <v>-5696628</v>
      </c>
      <c r="R546" s="1">
        <v>2013</v>
      </c>
    </row>
    <row r="547" spans="1:20" ht="15" customHeight="1" x14ac:dyDescent="0.25">
      <c r="A547" s="4" t="s">
        <v>15</v>
      </c>
      <c r="B547" s="1">
        <v>4227182</v>
      </c>
      <c r="C547" s="35" t="s">
        <v>6291</v>
      </c>
      <c r="D547" s="29" t="s">
        <v>2683</v>
      </c>
      <c r="E547" s="1" t="s">
        <v>2684</v>
      </c>
      <c r="F547" s="1" t="s">
        <v>2685</v>
      </c>
      <c r="G547" s="4" t="s">
        <v>5622</v>
      </c>
      <c r="H547" s="4" t="s">
        <v>5719</v>
      </c>
      <c r="I547" s="4" t="s">
        <v>5694</v>
      </c>
      <c r="J547" s="2">
        <v>34131</v>
      </c>
      <c r="K547" s="1" t="s">
        <v>19</v>
      </c>
      <c r="L547" s="1" t="s">
        <v>20</v>
      </c>
      <c r="P547" s="1" t="s">
        <v>2686</v>
      </c>
      <c r="Q547" s="1">
        <v>615613156</v>
      </c>
      <c r="R547" s="1">
        <v>2012</v>
      </c>
      <c r="S547" s="1" t="s">
        <v>88</v>
      </c>
    </row>
    <row r="548" spans="1:20" ht="15" customHeight="1" x14ac:dyDescent="0.25">
      <c r="A548" s="4" t="s">
        <v>15</v>
      </c>
      <c r="B548" s="1">
        <v>4253507</v>
      </c>
      <c r="C548" s="35" t="s">
        <v>6292</v>
      </c>
      <c r="D548" s="29" t="s">
        <v>2687</v>
      </c>
      <c r="E548" s="1" t="s">
        <v>2688</v>
      </c>
      <c r="F548" s="1" t="s">
        <v>1101</v>
      </c>
      <c r="G548" s="4" t="s">
        <v>5622</v>
      </c>
      <c r="H548" s="4" t="s">
        <v>5719</v>
      </c>
      <c r="I548" s="4" t="s">
        <v>5694</v>
      </c>
      <c r="J548" s="2">
        <v>34388</v>
      </c>
      <c r="K548" s="1" t="s">
        <v>19</v>
      </c>
      <c r="L548" s="1" t="s">
        <v>20</v>
      </c>
      <c r="P548" s="1" t="s">
        <v>2689</v>
      </c>
      <c r="Q548" s="1">
        <v>648600482</v>
      </c>
      <c r="R548" s="1">
        <v>2013</v>
      </c>
      <c r="T548" s="1" t="s">
        <v>5217</v>
      </c>
    </row>
    <row r="549" spans="1:20" ht="15" customHeight="1" x14ac:dyDescent="0.25">
      <c r="A549" s="4" t="s">
        <v>15</v>
      </c>
      <c r="B549" s="1">
        <v>4304543</v>
      </c>
      <c r="C549" s="35" t="s">
        <v>6293</v>
      </c>
      <c r="D549" s="29" t="s">
        <v>2690</v>
      </c>
      <c r="E549" s="1" t="s">
        <v>2691</v>
      </c>
      <c r="F549" s="1" t="s">
        <v>2692</v>
      </c>
      <c r="G549" s="4" t="s">
        <v>5622</v>
      </c>
      <c r="H549" s="4" t="s">
        <v>5719</v>
      </c>
      <c r="I549" s="4" t="s">
        <v>5694</v>
      </c>
      <c r="J549" s="2">
        <v>34635</v>
      </c>
      <c r="K549" s="1" t="s">
        <v>19</v>
      </c>
      <c r="L549" s="1" t="s">
        <v>20</v>
      </c>
      <c r="M549" s="1" t="s">
        <v>2693</v>
      </c>
      <c r="N549" s="1" t="s">
        <v>2694</v>
      </c>
      <c r="O549" s="1" t="s">
        <v>23</v>
      </c>
      <c r="P549" s="1" t="s">
        <v>2695</v>
      </c>
      <c r="Q549" s="1">
        <f>31-681082176</f>
        <v>-681082145</v>
      </c>
      <c r="R549" s="1">
        <v>2013</v>
      </c>
    </row>
    <row r="550" spans="1:20" ht="15" customHeight="1" x14ac:dyDescent="0.25">
      <c r="A550" s="4" t="s">
        <v>15</v>
      </c>
      <c r="B550" s="1">
        <v>4288769</v>
      </c>
      <c r="C550" s="35" t="s">
        <v>6294</v>
      </c>
      <c r="D550" s="29" t="s">
        <v>2696</v>
      </c>
      <c r="E550" s="1" t="s">
        <v>2697</v>
      </c>
      <c r="F550" s="1" t="s">
        <v>2698</v>
      </c>
      <c r="G550" s="4" t="s">
        <v>5622</v>
      </c>
      <c r="H550" s="4" t="s">
        <v>5719</v>
      </c>
      <c r="I550" s="4" t="s">
        <v>5694</v>
      </c>
      <c r="J550" s="2">
        <v>34920</v>
      </c>
      <c r="K550" s="1" t="s">
        <v>19</v>
      </c>
      <c r="L550" s="1" t="s">
        <v>20</v>
      </c>
      <c r="M550" s="1" t="s">
        <v>2699</v>
      </c>
      <c r="N550" s="1" t="s">
        <v>2700</v>
      </c>
      <c r="O550" s="1" t="s">
        <v>23</v>
      </c>
      <c r="P550" s="1" t="s">
        <v>2701</v>
      </c>
      <c r="Q550" s="1">
        <f>234-7039050661</f>
        <v>-7039050427</v>
      </c>
      <c r="R550" s="1">
        <v>2013</v>
      </c>
    </row>
    <row r="551" spans="1:20" ht="15" customHeight="1" x14ac:dyDescent="0.25">
      <c r="A551" s="4" t="s">
        <v>15</v>
      </c>
      <c r="B551" s="1">
        <v>4296478</v>
      </c>
      <c r="C551" s="35" t="s">
        <v>6295</v>
      </c>
      <c r="D551" s="29" t="s">
        <v>843</v>
      </c>
      <c r="E551" s="1" t="s">
        <v>2702</v>
      </c>
      <c r="F551" s="1" t="s">
        <v>2703</v>
      </c>
      <c r="G551" s="4" t="s">
        <v>5622</v>
      </c>
      <c r="H551" s="4" t="s">
        <v>5719</v>
      </c>
      <c r="I551" s="4" t="s">
        <v>5694</v>
      </c>
      <c r="J551" s="2">
        <v>34637</v>
      </c>
      <c r="K551" s="1" t="s">
        <v>19</v>
      </c>
      <c r="L551" s="1" t="s">
        <v>20</v>
      </c>
      <c r="M551" s="1" t="s">
        <v>2704</v>
      </c>
      <c r="N551" s="1" t="s">
        <v>2705</v>
      </c>
      <c r="O551" s="1" t="s">
        <v>23</v>
      </c>
      <c r="P551" s="1" t="s">
        <v>2706</v>
      </c>
      <c r="Q551" s="1">
        <f>31-617596289</f>
        <v>-617596258</v>
      </c>
      <c r="R551" s="1">
        <v>2013</v>
      </c>
    </row>
    <row r="552" spans="1:20" ht="15" customHeight="1" x14ac:dyDescent="0.25">
      <c r="A552" s="4" t="s">
        <v>15</v>
      </c>
      <c r="B552" s="1">
        <v>4289927</v>
      </c>
      <c r="C552" s="35" t="s">
        <v>6296</v>
      </c>
      <c r="D552" s="29" t="s">
        <v>1199</v>
      </c>
      <c r="E552" s="1" t="s">
        <v>2707</v>
      </c>
      <c r="F552" s="1" t="s">
        <v>443</v>
      </c>
      <c r="G552" s="4" t="s">
        <v>5622</v>
      </c>
      <c r="H552" s="4" t="s">
        <v>5719</v>
      </c>
      <c r="I552" s="4" t="s">
        <v>5694</v>
      </c>
      <c r="J552" s="2">
        <v>34911</v>
      </c>
      <c r="K552" s="1" t="s">
        <v>19</v>
      </c>
      <c r="L552" s="1" t="s">
        <v>20</v>
      </c>
      <c r="M552" s="1" t="s">
        <v>2708</v>
      </c>
      <c r="N552" s="1" t="s">
        <v>2709</v>
      </c>
      <c r="O552" s="1" t="s">
        <v>23</v>
      </c>
      <c r="P552" s="1" t="s">
        <v>2710</v>
      </c>
      <c r="R552" s="1">
        <v>2013</v>
      </c>
    </row>
    <row r="553" spans="1:20" ht="15" customHeight="1" x14ac:dyDescent="0.25">
      <c r="A553" s="4" t="s">
        <v>15</v>
      </c>
      <c r="B553" s="1">
        <v>4297725</v>
      </c>
      <c r="C553" s="35" t="s">
        <v>6297</v>
      </c>
      <c r="D553" s="29" t="s">
        <v>2717</v>
      </c>
      <c r="E553" s="1" t="s">
        <v>2718</v>
      </c>
      <c r="F553" s="1" t="s">
        <v>2719</v>
      </c>
      <c r="G553" s="4" t="s">
        <v>5623</v>
      </c>
      <c r="H553" s="4" t="s">
        <v>5719</v>
      </c>
      <c r="I553" s="4" t="s">
        <v>5695</v>
      </c>
      <c r="J553" s="2">
        <v>34784</v>
      </c>
      <c r="K553" s="1" t="s">
        <v>19</v>
      </c>
      <c r="L553" s="1" t="s">
        <v>20</v>
      </c>
      <c r="M553" s="1" t="s">
        <v>2720</v>
      </c>
      <c r="N553" s="1" t="s">
        <v>2721</v>
      </c>
      <c r="O553" s="1" t="s">
        <v>23</v>
      </c>
      <c r="P553" s="1" t="s">
        <v>2722</v>
      </c>
      <c r="Q553" s="1">
        <f>31-619953255</f>
        <v>-619953224</v>
      </c>
      <c r="R553" s="1">
        <v>2013</v>
      </c>
    </row>
    <row r="554" spans="1:20" ht="15" customHeight="1" x14ac:dyDescent="0.25">
      <c r="A554" s="4" t="s">
        <v>15</v>
      </c>
      <c r="B554" s="1">
        <v>4300181</v>
      </c>
      <c r="C554" s="35" t="s">
        <v>6298</v>
      </c>
      <c r="D554" s="29" t="s">
        <v>2723</v>
      </c>
      <c r="E554" s="1" t="s">
        <v>2724</v>
      </c>
      <c r="F554" s="1" t="s">
        <v>1942</v>
      </c>
      <c r="G554" s="4" t="s">
        <v>5623</v>
      </c>
      <c r="H554" s="4" t="s">
        <v>5719</v>
      </c>
      <c r="I554" s="4" t="s">
        <v>5695</v>
      </c>
      <c r="J554" s="2">
        <v>34940</v>
      </c>
      <c r="K554" s="1" t="s">
        <v>19</v>
      </c>
      <c r="L554" s="1" t="s">
        <v>20</v>
      </c>
      <c r="M554" s="1" t="s">
        <v>2725</v>
      </c>
      <c r="N554" s="1" t="s">
        <v>2726</v>
      </c>
      <c r="O554" s="1" t="s">
        <v>23</v>
      </c>
      <c r="P554" s="1" t="s">
        <v>2727</v>
      </c>
      <c r="Q554" s="1">
        <f>31-634423226</f>
        <v>-634423195</v>
      </c>
      <c r="R554" s="1">
        <v>2013</v>
      </c>
    </row>
    <row r="555" spans="1:20" ht="15" customHeight="1" x14ac:dyDescent="0.25">
      <c r="A555" s="4" t="s">
        <v>15</v>
      </c>
      <c r="B555" s="1">
        <v>4316568</v>
      </c>
      <c r="C555" s="35" t="s">
        <v>6299</v>
      </c>
      <c r="D555" s="29" t="s">
        <v>2728</v>
      </c>
      <c r="E555" s="1" t="s">
        <v>2729</v>
      </c>
      <c r="F555" s="1" t="s">
        <v>2730</v>
      </c>
      <c r="G555" s="4" t="s">
        <v>5623</v>
      </c>
      <c r="H555" s="4" t="s">
        <v>5719</v>
      </c>
      <c r="I555" s="4" t="s">
        <v>5695</v>
      </c>
      <c r="J555" s="2">
        <v>34874</v>
      </c>
      <c r="K555" s="1" t="s">
        <v>19</v>
      </c>
      <c r="L555" s="1" t="s">
        <v>20</v>
      </c>
      <c r="M555" s="1" t="s">
        <v>2731</v>
      </c>
      <c r="N555" s="1" t="s">
        <v>2732</v>
      </c>
      <c r="O555" s="1" t="s">
        <v>23</v>
      </c>
      <c r="P555" s="1" t="s">
        <v>2733</v>
      </c>
      <c r="Q555" s="1">
        <f>31-618116267</f>
        <v>-618116236</v>
      </c>
      <c r="R555" s="1">
        <v>2013</v>
      </c>
    </row>
    <row r="556" spans="1:20" ht="15" customHeight="1" x14ac:dyDescent="0.25">
      <c r="A556" s="4" t="s">
        <v>15</v>
      </c>
      <c r="B556" s="1">
        <v>4284143</v>
      </c>
      <c r="C556" s="35" t="s">
        <v>6300</v>
      </c>
      <c r="D556" s="29" t="s">
        <v>475</v>
      </c>
      <c r="E556" s="1" t="s">
        <v>2734</v>
      </c>
      <c r="F556" s="1" t="s">
        <v>1886</v>
      </c>
      <c r="G556" s="4" t="s">
        <v>5623</v>
      </c>
      <c r="H556" s="4" t="s">
        <v>5719</v>
      </c>
      <c r="I556" s="4" t="s">
        <v>5695</v>
      </c>
      <c r="J556" s="2">
        <v>34337</v>
      </c>
      <c r="K556" s="1" t="s">
        <v>19</v>
      </c>
      <c r="L556" s="1" t="s">
        <v>20</v>
      </c>
      <c r="M556" s="1" t="s">
        <v>2735</v>
      </c>
      <c r="N556" s="1" t="s">
        <v>2736</v>
      </c>
      <c r="O556" s="1" t="s">
        <v>23</v>
      </c>
      <c r="P556" s="1" t="s">
        <v>2737</v>
      </c>
      <c r="Q556" s="1">
        <f>31-612730300</f>
        <v>-612730269</v>
      </c>
      <c r="R556" s="1">
        <v>2013</v>
      </c>
    </row>
    <row r="557" spans="1:20" ht="15" customHeight="1" x14ac:dyDescent="0.25">
      <c r="A557" s="4" t="s">
        <v>15</v>
      </c>
      <c r="B557" s="1">
        <v>4285042</v>
      </c>
      <c r="C557" s="35" t="s">
        <v>6301</v>
      </c>
      <c r="D557" s="29" t="s">
        <v>2738</v>
      </c>
      <c r="E557" s="1" t="s">
        <v>2739</v>
      </c>
      <c r="F557" s="1" t="s">
        <v>2740</v>
      </c>
      <c r="G557" s="4" t="s">
        <v>5623</v>
      </c>
      <c r="H557" s="4" t="s">
        <v>5719</v>
      </c>
      <c r="I557" s="4" t="s">
        <v>5695</v>
      </c>
      <c r="J557" s="2">
        <v>34869</v>
      </c>
      <c r="K557" s="1" t="s">
        <v>19</v>
      </c>
      <c r="L557" s="1" t="s">
        <v>20</v>
      </c>
      <c r="M557" s="1" t="s">
        <v>2741</v>
      </c>
      <c r="N557" s="1" t="s">
        <v>2742</v>
      </c>
      <c r="O557" s="1" t="s">
        <v>23</v>
      </c>
      <c r="P557" s="1" t="s">
        <v>2743</v>
      </c>
      <c r="Q557" s="1">
        <f>31-681707947</f>
        <v>-681707916</v>
      </c>
      <c r="R557" s="1">
        <v>2013</v>
      </c>
    </row>
    <row r="558" spans="1:20" ht="15" customHeight="1" x14ac:dyDescent="0.25">
      <c r="A558" s="4" t="s">
        <v>15</v>
      </c>
      <c r="B558" s="1">
        <v>4229290</v>
      </c>
      <c r="C558" s="35" t="s">
        <v>6302</v>
      </c>
      <c r="D558" s="29" t="s">
        <v>1336</v>
      </c>
      <c r="E558" s="1" t="s">
        <v>2744</v>
      </c>
      <c r="F558" s="1" t="s">
        <v>2127</v>
      </c>
      <c r="G558" s="4" t="s">
        <v>5623</v>
      </c>
      <c r="H558" s="4" t="s">
        <v>5719</v>
      </c>
      <c r="I558" s="4" t="s">
        <v>5695</v>
      </c>
      <c r="J558" s="2">
        <v>34011</v>
      </c>
      <c r="K558" s="1" t="s">
        <v>19</v>
      </c>
      <c r="L558" s="1" t="s">
        <v>20</v>
      </c>
      <c r="M558" s="1" t="s">
        <v>2745</v>
      </c>
      <c r="N558" s="1" t="s">
        <v>2746</v>
      </c>
      <c r="O558" s="1" t="s">
        <v>23</v>
      </c>
      <c r="P558" s="1" t="s">
        <v>2747</v>
      </c>
      <c r="Q558" s="1">
        <f>31-646153888</f>
        <v>-646153857</v>
      </c>
      <c r="R558" s="1">
        <v>2012</v>
      </c>
      <c r="S558" s="1" t="s">
        <v>5237</v>
      </c>
    </row>
    <row r="559" spans="1:20" ht="15" customHeight="1" x14ac:dyDescent="0.25">
      <c r="A559" s="4" t="s">
        <v>15</v>
      </c>
      <c r="B559" s="1">
        <v>4299787</v>
      </c>
      <c r="C559" s="35" t="s">
        <v>6303</v>
      </c>
      <c r="D559" s="29" t="s">
        <v>2748</v>
      </c>
      <c r="E559" s="1" t="s">
        <v>2749</v>
      </c>
      <c r="F559" s="1" t="s">
        <v>1632</v>
      </c>
      <c r="G559" s="4" t="s">
        <v>5623</v>
      </c>
      <c r="H559" s="4" t="s">
        <v>5719</v>
      </c>
      <c r="I559" s="4" t="s">
        <v>5695</v>
      </c>
      <c r="J559" s="2">
        <v>34968</v>
      </c>
      <c r="K559" s="1" t="s">
        <v>19</v>
      </c>
      <c r="L559" s="1" t="s">
        <v>20</v>
      </c>
      <c r="M559" s="1" t="s">
        <v>2750</v>
      </c>
      <c r="N559" s="1" t="s">
        <v>2751</v>
      </c>
      <c r="O559" s="1" t="s">
        <v>23</v>
      </c>
      <c r="P559" s="1" t="s">
        <v>2752</v>
      </c>
      <c r="Q559" s="1">
        <f>31-681755708</f>
        <v>-681755677</v>
      </c>
      <c r="R559" s="1">
        <v>2013</v>
      </c>
    </row>
    <row r="560" spans="1:20" ht="15" customHeight="1" x14ac:dyDescent="0.25">
      <c r="A560" s="4" t="s">
        <v>15</v>
      </c>
      <c r="B560" s="1">
        <v>4323955</v>
      </c>
      <c r="C560" s="35" t="s">
        <v>6304</v>
      </c>
      <c r="D560" s="29" t="s">
        <v>2753</v>
      </c>
      <c r="E560" s="1" t="s">
        <v>2754</v>
      </c>
      <c r="F560" s="1" t="s">
        <v>788</v>
      </c>
      <c r="G560" s="4" t="s">
        <v>5623</v>
      </c>
      <c r="H560" s="4" t="s">
        <v>5719</v>
      </c>
      <c r="I560" s="4" t="s">
        <v>5695</v>
      </c>
      <c r="J560" s="2">
        <v>34876</v>
      </c>
      <c r="K560" s="1" t="s">
        <v>19</v>
      </c>
      <c r="L560" s="1" t="s">
        <v>20</v>
      </c>
      <c r="M560" s="1" t="s">
        <v>2755</v>
      </c>
      <c r="N560" s="1" t="s">
        <v>2756</v>
      </c>
      <c r="O560" s="1" t="s">
        <v>23</v>
      </c>
      <c r="P560" s="1" t="s">
        <v>2757</v>
      </c>
      <c r="R560" s="1">
        <v>2013</v>
      </c>
    </row>
    <row r="561" spans="1:19" ht="15" customHeight="1" x14ac:dyDescent="0.25">
      <c r="A561" s="4" t="s">
        <v>15</v>
      </c>
      <c r="B561" s="1">
        <v>4316932</v>
      </c>
      <c r="C561" s="35" t="s">
        <v>6305</v>
      </c>
      <c r="D561" s="29" t="s">
        <v>2758</v>
      </c>
      <c r="E561" s="1" t="s">
        <v>2759</v>
      </c>
      <c r="F561" s="1" t="s">
        <v>242</v>
      </c>
      <c r="G561" s="4" t="s">
        <v>5624</v>
      </c>
      <c r="H561" s="4" t="s">
        <v>5720</v>
      </c>
      <c r="I561" s="4" t="s">
        <v>5695</v>
      </c>
      <c r="J561" s="2">
        <v>34732</v>
      </c>
      <c r="K561" s="1" t="s">
        <v>19</v>
      </c>
      <c r="L561" s="1" t="s">
        <v>20</v>
      </c>
      <c r="M561" s="1" t="s">
        <v>2760</v>
      </c>
      <c r="N561" s="1" t="s">
        <v>2761</v>
      </c>
      <c r="O561" s="1" t="s">
        <v>23</v>
      </c>
      <c r="P561" s="1" t="s">
        <v>2762</v>
      </c>
      <c r="Q561" s="1">
        <f>31-624971803</f>
        <v>-624971772</v>
      </c>
      <c r="R561" s="1">
        <v>2013</v>
      </c>
    </row>
    <row r="562" spans="1:19" ht="15" customHeight="1" x14ac:dyDescent="0.25">
      <c r="A562" s="4" t="s">
        <v>15</v>
      </c>
      <c r="B562" s="1">
        <v>4205529</v>
      </c>
      <c r="C562" s="35" t="s">
        <v>6306</v>
      </c>
      <c r="D562" s="29" t="s">
        <v>2796</v>
      </c>
      <c r="E562" s="1" t="s">
        <v>2797</v>
      </c>
      <c r="F562" s="1" t="s">
        <v>2798</v>
      </c>
      <c r="G562" s="4" t="s">
        <v>5624</v>
      </c>
      <c r="H562" s="4" t="s">
        <v>5720</v>
      </c>
      <c r="I562" s="4" t="s">
        <v>5695</v>
      </c>
      <c r="J562" s="2">
        <v>34339</v>
      </c>
      <c r="K562" s="1" t="s">
        <v>19</v>
      </c>
      <c r="L562" s="1" t="s">
        <v>111</v>
      </c>
      <c r="M562" s="1" t="s">
        <v>2799</v>
      </c>
      <c r="N562" s="1" t="s">
        <v>2800</v>
      </c>
      <c r="O562" s="1" t="s">
        <v>23</v>
      </c>
      <c r="P562" s="1" t="s">
        <v>2801</v>
      </c>
      <c r="Q562" s="1">
        <f>31-612534312</f>
        <v>-612534281</v>
      </c>
      <c r="R562" s="1">
        <v>2012</v>
      </c>
      <c r="S562" s="1" t="s">
        <v>88</v>
      </c>
    </row>
    <row r="563" spans="1:19" ht="15" customHeight="1" x14ac:dyDescent="0.25">
      <c r="A563" s="4" t="s">
        <v>15</v>
      </c>
      <c r="B563" s="1">
        <v>4315537</v>
      </c>
      <c r="C563" s="35" t="s">
        <v>6307</v>
      </c>
      <c r="D563" s="29" t="s">
        <v>2763</v>
      </c>
      <c r="E563" s="1" t="s">
        <v>2764</v>
      </c>
      <c r="F563" s="1" t="s">
        <v>724</v>
      </c>
      <c r="G563" s="4" t="s">
        <v>5624</v>
      </c>
      <c r="H563" s="4" t="s">
        <v>5720</v>
      </c>
      <c r="I563" s="4" t="s">
        <v>5695</v>
      </c>
      <c r="J563" s="2">
        <v>34182</v>
      </c>
      <c r="K563" s="1" t="s">
        <v>19</v>
      </c>
      <c r="L563" s="1" t="s">
        <v>20</v>
      </c>
      <c r="M563" s="1" t="s">
        <v>2765</v>
      </c>
      <c r="N563" s="1" t="s">
        <v>2766</v>
      </c>
      <c r="O563" s="1" t="s">
        <v>23</v>
      </c>
      <c r="P563" s="1" t="s">
        <v>2767</v>
      </c>
      <c r="Q563" s="1">
        <f>31-612721745</f>
        <v>-612721714</v>
      </c>
      <c r="R563" s="1">
        <v>2013</v>
      </c>
    </row>
    <row r="564" spans="1:19" ht="15" customHeight="1" x14ac:dyDescent="0.25">
      <c r="A564" s="4" t="s">
        <v>15</v>
      </c>
      <c r="B564" s="1">
        <v>4234227</v>
      </c>
      <c r="C564" s="35" t="s">
        <v>6308</v>
      </c>
      <c r="D564" s="29" t="s">
        <v>2768</v>
      </c>
      <c r="E564" s="1" t="s">
        <v>2769</v>
      </c>
      <c r="F564" s="1" t="s">
        <v>18</v>
      </c>
      <c r="G564" s="4" t="s">
        <v>5624</v>
      </c>
      <c r="H564" s="4" t="s">
        <v>5720</v>
      </c>
      <c r="I564" s="4" t="s">
        <v>5695</v>
      </c>
      <c r="J564" s="2">
        <v>34477</v>
      </c>
      <c r="K564" s="1" t="s">
        <v>19</v>
      </c>
      <c r="L564" s="1" t="s">
        <v>20</v>
      </c>
      <c r="M564" s="1" t="s">
        <v>2770</v>
      </c>
      <c r="N564" s="1" t="s">
        <v>2771</v>
      </c>
      <c r="O564" s="1" t="s">
        <v>23</v>
      </c>
      <c r="P564" s="1" t="s">
        <v>2772</v>
      </c>
      <c r="Q564" s="1">
        <f>31-638143630</f>
        <v>-638143599</v>
      </c>
      <c r="R564" s="1">
        <v>2012</v>
      </c>
      <c r="S564" s="1" t="s">
        <v>5236</v>
      </c>
    </row>
    <row r="565" spans="1:19" ht="15" customHeight="1" x14ac:dyDescent="0.25">
      <c r="A565" s="4" t="s">
        <v>15</v>
      </c>
      <c r="B565" s="1">
        <v>4331354</v>
      </c>
      <c r="C565" s="35" t="s">
        <v>6309</v>
      </c>
      <c r="D565" s="29" t="s">
        <v>2773</v>
      </c>
      <c r="E565" s="1" t="s">
        <v>2774</v>
      </c>
      <c r="F565" s="1" t="s">
        <v>2775</v>
      </c>
      <c r="G565" s="4" t="s">
        <v>5624</v>
      </c>
      <c r="H565" s="4" t="s">
        <v>5720</v>
      </c>
      <c r="I565" s="4" t="s">
        <v>5695</v>
      </c>
      <c r="J565" s="2">
        <v>34309</v>
      </c>
      <c r="K565" s="1" t="s">
        <v>19</v>
      </c>
      <c r="L565" s="1" t="s">
        <v>20</v>
      </c>
      <c r="M565" s="1" t="s">
        <v>2776</v>
      </c>
      <c r="N565" s="1" t="s">
        <v>2777</v>
      </c>
      <c r="O565" s="1" t="s">
        <v>23</v>
      </c>
      <c r="P565" s="1" t="s">
        <v>2778</v>
      </c>
      <c r="Q565" s="1">
        <f>31-613474155</f>
        <v>-613474124</v>
      </c>
      <c r="R565" s="1">
        <v>2013</v>
      </c>
    </row>
    <row r="566" spans="1:19" ht="15" customHeight="1" x14ac:dyDescent="0.25">
      <c r="A566" s="4" t="s">
        <v>15</v>
      </c>
      <c r="B566" s="1">
        <v>4228650</v>
      </c>
      <c r="C566" s="35" t="s">
        <v>6310</v>
      </c>
      <c r="D566" s="29" t="s">
        <v>2779</v>
      </c>
      <c r="E566" s="1" t="s">
        <v>2780</v>
      </c>
      <c r="F566" s="1" t="s">
        <v>265</v>
      </c>
      <c r="G566" s="4" t="s">
        <v>5624</v>
      </c>
      <c r="H566" s="4" t="s">
        <v>5720</v>
      </c>
      <c r="I566" s="4" t="s">
        <v>5695</v>
      </c>
      <c r="J566" s="2">
        <v>34015</v>
      </c>
      <c r="K566" s="1" t="s">
        <v>19</v>
      </c>
      <c r="L566" s="1" t="s">
        <v>20</v>
      </c>
      <c r="M566" s="1" t="s">
        <v>2781</v>
      </c>
      <c r="N566" s="1" t="s">
        <v>2782</v>
      </c>
      <c r="O566" s="1" t="s">
        <v>23</v>
      </c>
      <c r="P566" s="1" t="s">
        <v>2783</v>
      </c>
      <c r="Q566" s="1">
        <f>31-640860579</f>
        <v>-640860548</v>
      </c>
      <c r="R566" s="1">
        <v>2012</v>
      </c>
      <c r="S566" s="1" t="s">
        <v>5236</v>
      </c>
    </row>
    <row r="567" spans="1:19" ht="15" customHeight="1" x14ac:dyDescent="0.25">
      <c r="A567" s="4" t="s">
        <v>15</v>
      </c>
      <c r="B567" s="1">
        <v>4285670</v>
      </c>
      <c r="C567" s="35" t="s">
        <v>6311</v>
      </c>
      <c r="D567" s="29" t="s">
        <v>2784</v>
      </c>
      <c r="E567" s="1" t="s">
        <v>2785</v>
      </c>
      <c r="F567" s="1" t="s">
        <v>2786</v>
      </c>
      <c r="G567" s="4" t="s">
        <v>5624</v>
      </c>
      <c r="H567" s="4" t="s">
        <v>5720</v>
      </c>
      <c r="I567" s="4" t="s">
        <v>5695</v>
      </c>
      <c r="J567" s="2">
        <v>34810</v>
      </c>
      <c r="K567" s="1" t="s">
        <v>19</v>
      </c>
      <c r="L567" s="1" t="s">
        <v>20</v>
      </c>
      <c r="M567" s="1" t="s">
        <v>2787</v>
      </c>
      <c r="N567" s="1" t="s">
        <v>2788</v>
      </c>
      <c r="O567" s="1" t="s">
        <v>23</v>
      </c>
      <c r="P567" s="1" t="s">
        <v>2789</v>
      </c>
      <c r="Q567" s="1">
        <f>31-624858600</f>
        <v>-624858569</v>
      </c>
      <c r="R567" s="1">
        <v>2013</v>
      </c>
    </row>
    <row r="568" spans="1:19" ht="15" customHeight="1" x14ac:dyDescent="0.25">
      <c r="A568" s="4" t="s">
        <v>15</v>
      </c>
      <c r="B568" s="1">
        <v>4302931</v>
      </c>
      <c r="C568" s="35" t="s">
        <v>6312</v>
      </c>
      <c r="D568" s="29" t="s">
        <v>2790</v>
      </c>
      <c r="E568" s="1" t="s">
        <v>2791</v>
      </c>
      <c r="F568" s="1" t="s">
        <v>2792</v>
      </c>
      <c r="G568" s="4" t="s">
        <v>5624</v>
      </c>
      <c r="H568" s="4" t="s">
        <v>5720</v>
      </c>
      <c r="I568" s="4" t="s">
        <v>5695</v>
      </c>
      <c r="J568" s="2">
        <v>34812</v>
      </c>
      <c r="K568" s="1" t="s">
        <v>19</v>
      </c>
      <c r="L568" s="1" t="s">
        <v>20</v>
      </c>
      <c r="M568" s="1" t="s">
        <v>2793</v>
      </c>
      <c r="N568" s="1" t="s">
        <v>2794</v>
      </c>
      <c r="O568" s="1" t="s">
        <v>23</v>
      </c>
      <c r="P568" s="1" t="s">
        <v>2795</v>
      </c>
      <c r="Q568" s="1">
        <f>31-642599895</f>
        <v>-642599864</v>
      </c>
      <c r="R568" s="1">
        <v>2013</v>
      </c>
    </row>
    <row r="569" spans="1:19" ht="15" customHeight="1" x14ac:dyDescent="0.25">
      <c r="A569" s="4" t="s">
        <v>15</v>
      </c>
      <c r="B569" s="1">
        <v>4281918</v>
      </c>
      <c r="C569" s="35" t="s">
        <v>6313</v>
      </c>
      <c r="D569" s="29" t="s">
        <v>305</v>
      </c>
      <c r="E569" s="1" t="s">
        <v>2802</v>
      </c>
      <c r="F569" s="1" t="s">
        <v>2803</v>
      </c>
      <c r="G569" s="4" t="s">
        <v>5625</v>
      </c>
      <c r="H569" s="4" t="s">
        <v>5720</v>
      </c>
      <c r="I569" s="4" t="s">
        <v>5696</v>
      </c>
      <c r="J569" s="2">
        <v>34716</v>
      </c>
      <c r="K569" s="1" t="s">
        <v>19</v>
      </c>
      <c r="L569" s="1" t="s">
        <v>20</v>
      </c>
      <c r="M569" s="1" t="s">
        <v>2804</v>
      </c>
      <c r="N569" s="1" t="s">
        <v>2805</v>
      </c>
      <c r="O569" s="1" t="s">
        <v>23</v>
      </c>
      <c r="P569" s="1" t="s">
        <v>2806</v>
      </c>
      <c r="Q569" s="1">
        <f>31-654367941</f>
        <v>-654367910</v>
      </c>
      <c r="R569" s="1">
        <v>2013</v>
      </c>
    </row>
    <row r="570" spans="1:19" ht="15" customHeight="1" x14ac:dyDescent="0.25">
      <c r="A570" s="4" t="s">
        <v>15</v>
      </c>
      <c r="B570" s="1">
        <v>4311019</v>
      </c>
      <c r="C570" s="35" t="s">
        <v>6314</v>
      </c>
      <c r="D570" s="29" t="s">
        <v>2807</v>
      </c>
      <c r="E570" s="1" t="s">
        <v>2808</v>
      </c>
      <c r="F570" s="1" t="s">
        <v>2809</v>
      </c>
      <c r="G570" s="4" t="s">
        <v>5625</v>
      </c>
      <c r="H570" s="4" t="s">
        <v>5720</v>
      </c>
      <c r="I570" s="4" t="s">
        <v>5696</v>
      </c>
      <c r="J570" s="2">
        <v>34859</v>
      </c>
      <c r="K570" s="1" t="s">
        <v>19</v>
      </c>
      <c r="L570" s="1" t="s">
        <v>20</v>
      </c>
      <c r="M570" s="1" t="s">
        <v>2810</v>
      </c>
      <c r="N570" s="1" t="s">
        <v>2811</v>
      </c>
      <c r="O570" s="1" t="s">
        <v>23</v>
      </c>
      <c r="P570" s="1" t="s">
        <v>2812</v>
      </c>
      <c r="Q570" s="1">
        <f>31-630629810</f>
        <v>-630629779</v>
      </c>
      <c r="R570" s="1">
        <v>2013</v>
      </c>
    </row>
    <row r="571" spans="1:19" ht="15" customHeight="1" x14ac:dyDescent="0.25">
      <c r="A571" s="4" t="s">
        <v>15</v>
      </c>
      <c r="B571" s="1">
        <v>4129873</v>
      </c>
      <c r="C571" s="35" t="s">
        <v>6315</v>
      </c>
      <c r="D571" s="29" t="s">
        <v>2830</v>
      </c>
      <c r="E571" s="1" t="s">
        <v>2831</v>
      </c>
      <c r="F571" s="1" t="s">
        <v>690</v>
      </c>
      <c r="G571" s="4" t="s">
        <v>5625</v>
      </c>
      <c r="H571" s="4" t="s">
        <v>5720</v>
      </c>
      <c r="I571" s="4" t="s">
        <v>5696</v>
      </c>
      <c r="J571" s="2">
        <v>32156</v>
      </c>
      <c r="K571" s="1" t="s">
        <v>19</v>
      </c>
      <c r="L571" s="1" t="s">
        <v>20</v>
      </c>
      <c r="P571" s="1" t="s">
        <v>2832</v>
      </c>
      <c r="R571" s="1">
        <v>2010</v>
      </c>
      <c r="S571" s="1" t="s">
        <v>5232</v>
      </c>
    </row>
    <row r="572" spans="1:19" ht="15" customHeight="1" x14ac:dyDescent="0.25">
      <c r="A572" s="4" t="s">
        <v>15</v>
      </c>
      <c r="B572" s="1">
        <v>4315480</v>
      </c>
      <c r="C572" s="35" t="s">
        <v>6316</v>
      </c>
      <c r="D572" s="29" t="s">
        <v>2824</v>
      </c>
      <c r="E572" s="1" t="s">
        <v>2825</v>
      </c>
      <c r="F572" s="1" t="s">
        <v>2826</v>
      </c>
      <c r="G572" s="4" t="s">
        <v>5625</v>
      </c>
      <c r="H572" s="4" t="s">
        <v>5720</v>
      </c>
      <c r="I572" s="4" t="s">
        <v>5696</v>
      </c>
      <c r="J572" s="2">
        <v>34641</v>
      </c>
      <c r="K572" s="1" t="s">
        <v>19</v>
      </c>
      <c r="L572" s="1" t="s">
        <v>111</v>
      </c>
      <c r="M572" s="1" t="s">
        <v>2827</v>
      </c>
      <c r="N572" s="1" t="s">
        <v>2828</v>
      </c>
      <c r="O572" s="1" t="s">
        <v>23</v>
      </c>
      <c r="P572" s="1" t="s">
        <v>2829</v>
      </c>
      <c r="Q572" s="1">
        <f>31-642862008</f>
        <v>-642861977</v>
      </c>
      <c r="R572" s="1">
        <v>2013</v>
      </c>
    </row>
    <row r="573" spans="1:19" ht="15" customHeight="1" x14ac:dyDescent="0.25">
      <c r="A573" s="4" t="s">
        <v>15</v>
      </c>
      <c r="B573" s="1">
        <v>4330277</v>
      </c>
      <c r="C573" s="35" t="s">
        <v>6317</v>
      </c>
      <c r="D573" s="29" t="s">
        <v>2833</v>
      </c>
      <c r="E573" s="1" t="s">
        <v>2834</v>
      </c>
      <c r="F573" s="1" t="s">
        <v>342</v>
      </c>
      <c r="G573" s="4" t="s">
        <v>5625</v>
      </c>
      <c r="H573" s="4" t="s">
        <v>5720</v>
      </c>
      <c r="I573" s="4" t="s">
        <v>5696</v>
      </c>
      <c r="J573" s="2">
        <v>34772</v>
      </c>
      <c r="K573" s="1" t="s">
        <v>19</v>
      </c>
      <c r="L573" s="1" t="s">
        <v>20</v>
      </c>
      <c r="M573" s="1" t="s">
        <v>2835</v>
      </c>
      <c r="N573" s="1" t="s">
        <v>2836</v>
      </c>
      <c r="O573" s="1" t="s">
        <v>23</v>
      </c>
      <c r="P573" s="1" t="s">
        <v>2837</v>
      </c>
      <c r="Q573" s="1">
        <f>31-611506361</f>
        <v>-611506330</v>
      </c>
      <c r="R573" s="1">
        <v>2013</v>
      </c>
    </row>
    <row r="574" spans="1:19" ht="15" customHeight="1" x14ac:dyDescent="0.25">
      <c r="A574" s="4" t="s">
        <v>15</v>
      </c>
      <c r="B574" s="1">
        <v>4319354</v>
      </c>
      <c r="C574" s="35" t="s">
        <v>6318</v>
      </c>
      <c r="D574" s="29" t="s">
        <v>2813</v>
      </c>
      <c r="E574" s="1" t="s">
        <v>2814</v>
      </c>
      <c r="F574" s="1" t="s">
        <v>2815</v>
      </c>
      <c r="G574" s="4" t="s">
        <v>5625</v>
      </c>
      <c r="H574" s="4" t="s">
        <v>5720</v>
      </c>
      <c r="I574" s="4" t="s">
        <v>5696</v>
      </c>
      <c r="J574" s="2">
        <v>34511</v>
      </c>
      <c r="K574" s="1" t="s">
        <v>19</v>
      </c>
      <c r="L574" s="1" t="s">
        <v>20</v>
      </c>
      <c r="M574" s="1" t="s">
        <v>2816</v>
      </c>
      <c r="N574" s="1" t="s">
        <v>2817</v>
      </c>
      <c r="O574" s="1" t="s">
        <v>23</v>
      </c>
      <c r="P574" s="1" t="s">
        <v>2818</v>
      </c>
      <c r="Q574" s="1">
        <f>31-611760086</f>
        <v>-611760055</v>
      </c>
      <c r="R574" s="1">
        <v>2013</v>
      </c>
    </row>
    <row r="575" spans="1:19" ht="15" customHeight="1" x14ac:dyDescent="0.25">
      <c r="A575" s="4" t="s">
        <v>15</v>
      </c>
      <c r="B575" s="1">
        <v>4195981</v>
      </c>
      <c r="C575" s="35" t="s">
        <v>6319</v>
      </c>
      <c r="D575" s="29" t="s">
        <v>2819</v>
      </c>
      <c r="E575" s="1" t="s">
        <v>2820</v>
      </c>
      <c r="F575" s="1" t="s">
        <v>505</v>
      </c>
      <c r="G575" s="4" t="s">
        <v>5625</v>
      </c>
      <c r="H575" s="4" t="s">
        <v>5720</v>
      </c>
      <c r="I575" s="4" t="s">
        <v>5696</v>
      </c>
      <c r="J575" s="2">
        <v>34397</v>
      </c>
      <c r="K575" s="1" t="s">
        <v>19</v>
      </c>
      <c r="L575" s="1" t="s">
        <v>20</v>
      </c>
      <c r="M575" s="1" t="s">
        <v>2821</v>
      </c>
      <c r="N575" s="1" t="s">
        <v>2822</v>
      </c>
      <c r="O575" s="1" t="s">
        <v>23</v>
      </c>
      <c r="P575" s="1" t="s">
        <v>2823</v>
      </c>
      <c r="Q575" s="1">
        <f>31-649691253</f>
        <v>-649691222</v>
      </c>
      <c r="R575" s="1">
        <v>2012</v>
      </c>
      <c r="S575" s="1" t="s">
        <v>88</v>
      </c>
    </row>
    <row r="576" spans="1:19" ht="15" customHeight="1" x14ac:dyDescent="0.25">
      <c r="A576" s="4" t="s">
        <v>15</v>
      </c>
      <c r="B576" s="1">
        <v>4294378</v>
      </c>
      <c r="C576" s="35" t="s">
        <v>6320</v>
      </c>
      <c r="D576" s="29" t="s">
        <v>382</v>
      </c>
      <c r="E576" s="1" t="s">
        <v>4907</v>
      </c>
      <c r="F576" s="1" t="s">
        <v>289</v>
      </c>
      <c r="G576" s="4" t="s">
        <v>5625</v>
      </c>
      <c r="H576" s="4" t="s">
        <v>5720</v>
      </c>
      <c r="I576" s="4" t="s">
        <v>5696</v>
      </c>
      <c r="J576" s="2">
        <v>33330</v>
      </c>
      <c r="K576" s="1" t="s">
        <v>19</v>
      </c>
      <c r="L576" s="1" t="s">
        <v>20</v>
      </c>
      <c r="M576" s="1" t="s">
        <v>4908</v>
      </c>
      <c r="N576" s="1" t="s">
        <v>4909</v>
      </c>
      <c r="O576" s="1" t="s">
        <v>23</v>
      </c>
      <c r="P576" s="1" t="s">
        <v>4910</v>
      </c>
      <c r="Q576" s="1">
        <f>31-624901857</f>
        <v>-624901826</v>
      </c>
      <c r="R576" s="1">
        <v>2013</v>
      </c>
    </row>
    <row r="577" spans="1:19" ht="15" customHeight="1" x14ac:dyDescent="0.25">
      <c r="A577" s="4" t="s">
        <v>15</v>
      </c>
      <c r="B577" s="1">
        <v>4223764</v>
      </c>
      <c r="C577" s="35" t="s">
        <v>6321</v>
      </c>
      <c r="D577" s="29" t="s">
        <v>46</v>
      </c>
      <c r="E577" s="1" t="s">
        <v>2838</v>
      </c>
      <c r="F577" s="1" t="s">
        <v>2839</v>
      </c>
      <c r="G577" s="4" t="s">
        <v>5626</v>
      </c>
      <c r="H577" s="4" t="s">
        <v>5720</v>
      </c>
      <c r="I577" s="4" t="s">
        <v>5696</v>
      </c>
      <c r="J577" s="2">
        <v>33859</v>
      </c>
      <c r="K577" s="1" t="s">
        <v>19</v>
      </c>
      <c r="L577" s="1" t="s">
        <v>20</v>
      </c>
      <c r="M577" s="1" t="s">
        <v>2840</v>
      </c>
      <c r="N577" s="1" t="s">
        <v>2841</v>
      </c>
      <c r="O577" s="1" t="s">
        <v>23</v>
      </c>
      <c r="P577" s="1" t="s">
        <v>2842</v>
      </c>
      <c r="Q577" s="1">
        <f>31-655861192</f>
        <v>-655861161</v>
      </c>
      <c r="R577" s="1">
        <v>2012</v>
      </c>
      <c r="S577" s="1" t="s">
        <v>88</v>
      </c>
    </row>
    <row r="578" spans="1:19" ht="15" customHeight="1" x14ac:dyDescent="0.25">
      <c r="A578" s="4" t="s">
        <v>15</v>
      </c>
      <c r="B578" s="1">
        <v>4295854</v>
      </c>
      <c r="C578" s="35" t="s">
        <v>6322</v>
      </c>
      <c r="D578" s="29" t="s">
        <v>2728</v>
      </c>
      <c r="E578" s="1" t="s">
        <v>2843</v>
      </c>
      <c r="F578" s="1" t="s">
        <v>585</v>
      </c>
      <c r="G578" s="4" t="s">
        <v>5626</v>
      </c>
      <c r="H578" s="4" t="s">
        <v>5720</v>
      </c>
      <c r="I578" s="4" t="s">
        <v>5696</v>
      </c>
      <c r="J578" s="2">
        <v>34510</v>
      </c>
      <c r="K578" s="1" t="s">
        <v>19</v>
      </c>
      <c r="L578" s="1" t="s">
        <v>20</v>
      </c>
      <c r="M578" s="1" t="s">
        <v>2844</v>
      </c>
      <c r="N578" s="1" t="s">
        <v>2845</v>
      </c>
      <c r="O578" s="1" t="s">
        <v>2846</v>
      </c>
      <c r="P578" s="1" t="s">
        <v>2847</v>
      </c>
      <c r="Q578" s="1">
        <f>41-789203342</f>
        <v>-789203301</v>
      </c>
      <c r="R578" s="1">
        <v>2013</v>
      </c>
    </row>
    <row r="579" spans="1:19" ht="15" customHeight="1" x14ac:dyDescent="0.25">
      <c r="A579" s="4" t="s">
        <v>15</v>
      </c>
      <c r="B579" s="1">
        <v>4304284</v>
      </c>
      <c r="C579" s="35" t="s">
        <v>6323</v>
      </c>
      <c r="D579" s="29" t="s">
        <v>2875</v>
      </c>
      <c r="E579" s="1" t="s">
        <v>2876</v>
      </c>
      <c r="F579" s="1" t="s">
        <v>179</v>
      </c>
      <c r="G579" s="4" t="s">
        <v>5626</v>
      </c>
      <c r="H579" s="4" t="s">
        <v>5720</v>
      </c>
      <c r="I579" s="4" t="s">
        <v>5696</v>
      </c>
      <c r="J579" s="2">
        <v>34493</v>
      </c>
      <c r="K579" s="1" t="s">
        <v>19</v>
      </c>
      <c r="L579" s="1" t="s">
        <v>20</v>
      </c>
      <c r="M579" s="1" t="s">
        <v>2877</v>
      </c>
      <c r="N579" s="1" t="s">
        <v>2878</v>
      </c>
      <c r="O579" s="1" t="s">
        <v>23</v>
      </c>
      <c r="P579" s="1" t="s">
        <v>2879</v>
      </c>
      <c r="Q579" s="1">
        <f>31-646102207</f>
        <v>-646102176</v>
      </c>
      <c r="R579" s="1">
        <v>2013</v>
      </c>
    </row>
    <row r="580" spans="1:19" ht="15" customHeight="1" x14ac:dyDescent="0.25">
      <c r="A580" s="4" t="s">
        <v>15</v>
      </c>
      <c r="B580" s="1">
        <v>4304764</v>
      </c>
      <c r="C580" s="35" t="s">
        <v>6324</v>
      </c>
      <c r="D580" s="29" t="s">
        <v>2848</v>
      </c>
      <c r="E580" s="1" t="s">
        <v>2849</v>
      </c>
      <c r="F580" s="1" t="s">
        <v>834</v>
      </c>
      <c r="G580" s="4" t="s">
        <v>5626</v>
      </c>
      <c r="H580" s="4" t="s">
        <v>5720</v>
      </c>
      <c r="I580" s="4" t="s">
        <v>5696</v>
      </c>
      <c r="J580" s="2">
        <v>34922</v>
      </c>
      <c r="K580" s="1" t="s">
        <v>19</v>
      </c>
      <c r="L580" s="1" t="s">
        <v>20</v>
      </c>
      <c r="M580" s="1" t="s">
        <v>2850</v>
      </c>
      <c r="N580" s="1" t="s">
        <v>2851</v>
      </c>
      <c r="O580" s="1" t="s">
        <v>23</v>
      </c>
      <c r="P580" s="1" t="s">
        <v>2852</v>
      </c>
      <c r="Q580" s="1">
        <f>31-612112619</f>
        <v>-612112588</v>
      </c>
      <c r="R580" s="1">
        <v>2013</v>
      </c>
    </row>
    <row r="581" spans="1:19" ht="15" customHeight="1" x14ac:dyDescent="0.25">
      <c r="A581" s="4" t="s">
        <v>15</v>
      </c>
      <c r="B581" s="1">
        <v>4286960</v>
      </c>
      <c r="C581" s="35" t="s">
        <v>6325</v>
      </c>
      <c r="D581" s="29" t="s">
        <v>2853</v>
      </c>
      <c r="E581" s="1" t="s">
        <v>2854</v>
      </c>
      <c r="F581" s="1" t="s">
        <v>1236</v>
      </c>
      <c r="G581" s="4" t="s">
        <v>5626</v>
      </c>
      <c r="H581" s="4" t="s">
        <v>5720</v>
      </c>
      <c r="I581" s="4" t="s">
        <v>5696</v>
      </c>
      <c r="J581" s="2">
        <v>34373</v>
      </c>
      <c r="K581" s="1" t="s">
        <v>19</v>
      </c>
      <c r="L581" s="1" t="s">
        <v>20</v>
      </c>
      <c r="M581" s="1" t="s">
        <v>2855</v>
      </c>
      <c r="N581" s="1" t="s">
        <v>2856</v>
      </c>
      <c r="O581" s="1" t="s">
        <v>23</v>
      </c>
      <c r="P581" s="1" t="s">
        <v>2857</v>
      </c>
      <c r="Q581" s="1">
        <f>31-619489113</f>
        <v>-619489082</v>
      </c>
      <c r="R581" s="1">
        <v>2013</v>
      </c>
    </row>
    <row r="582" spans="1:19" ht="15" customHeight="1" x14ac:dyDescent="0.25">
      <c r="A582" s="4" t="s">
        <v>15</v>
      </c>
      <c r="B582" s="1">
        <v>4332016</v>
      </c>
      <c r="C582" s="35" t="s">
        <v>6326</v>
      </c>
      <c r="D582" s="29" t="s">
        <v>2858</v>
      </c>
      <c r="E582" s="1" t="s">
        <v>2859</v>
      </c>
      <c r="F582" s="1" t="s">
        <v>2860</v>
      </c>
      <c r="G582" s="4" t="s">
        <v>5626</v>
      </c>
      <c r="H582" s="4" t="s">
        <v>5720</v>
      </c>
      <c r="I582" s="4" t="s">
        <v>5696</v>
      </c>
      <c r="J582" s="2">
        <v>35108</v>
      </c>
      <c r="K582" s="1" t="s">
        <v>19</v>
      </c>
      <c r="L582" s="1" t="s">
        <v>20</v>
      </c>
      <c r="M582" s="1" t="s">
        <v>2861</v>
      </c>
      <c r="N582" s="1" t="s">
        <v>2862</v>
      </c>
      <c r="O582" s="1" t="s">
        <v>23</v>
      </c>
      <c r="P582" s="1" t="s">
        <v>2863</v>
      </c>
      <c r="Q582" s="1">
        <f>31-634568993</f>
        <v>-634568962</v>
      </c>
      <c r="R582" s="1">
        <v>2013</v>
      </c>
    </row>
    <row r="583" spans="1:19" ht="15" customHeight="1" x14ac:dyDescent="0.25">
      <c r="A583" s="4" t="s">
        <v>15</v>
      </c>
      <c r="B583" s="1">
        <v>4330919</v>
      </c>
      <c r="C583" s="35" t="s">
        <v>6327</v>
      </c>
      <c r="D583" s="29" t="s">
        <v>171</v>
      </c>
      <c r="E583" s="1" t="s">
        <v>2870</v>
      </c>
      <c r="F583" s="1" t="s">
        <v>2871</v>
      </c>
      <c r="G583" s="4" t="s">
        <v>5626</v>
      </c>
      <c r="H583" s="4" t="s">
        <v>5720</v>
      </c>
      <c r="I583" s="4" t="s">
        <v>5696</v>
      </c>
      <c r="J583" s="2">
        <v>34656</v>
      </c>
      <c r="K583" s="1" t="s">
        <v>19</v>
      </c>
      <c r="L583" s="1" t="s">
        <v>20</v>
      </c>
      <c r="M583" s="1" t="s">
        <v>2872</v>
      </c>
      <c r="N583" s="1" t="s">
        <v>2873</v>
      </c>
      <c r="O583" s="1" t="s">
        <v>23</v>
      </c>
      <c r="P583" s="1" t="s">
        <v>2874</v>
      </c>
      <c r="Q583" s="1">
        <f>31-628593312</f>
        <v>-628593281</v>
      </c>
      <c r="R583" s="1">
        <v>2013</v>
      </c>
    </row>
    <row r="584" spans="1:19" ht="15" customHeight="1" x14ac:dyDescent="0.25">
      <c r="A584" s="4" t="s">
        <v>15</v>
      </c>
      <c r="B584" s="1">
        <v>4266986</v>
      </c>
      <c r="C584" s="35" t="s">
        <v>6328</v>
      </c>
      <c r="D584" s="29" t="s">
        <v>2864</v>
      </c>
      <c r="E584" s="1" t="s">
        <v>2865</v>
      </c>
      <c r="F584" s="1" t="s">
        <v>2866</v>
      </c>
      <c r="G584" s="4" t="s">
        <v>5626</v>
      </c>
      <c r="H584" s="4" t="s">
        <v>5720</v>
      </c>
      <c r="I584" s="4" t="s">
        <v>5696</v>
      </c>
      <c r="J584" s="2">
        <v>34424</v>
      </c>
      <c r="K584" s="1" t="s">
        <v>19</v>
      </c>
      <c r="L584" s="1" t="s">
        <v>20</v>
      </c>
      <c r="M584" s="1" t="s">
        <v>2867</v>
      </c>
      <c r="N584" s="1" t="s">
        <v>2868</v>
      </c>
      <c r="O584" s="1" t="s">
        <v>23</v>
      </c>
      <c r="P584" s="1" t="s">
        <v>2869</v>
      </c>
      <c r="Q584" s="1">
        <f>31-622465198</f>
        <v>-622465167</v>
      </c>
      <c r="R584" s="1">
        <v>2013</v>
      </c>
    </row>
    <row r="585" spans="1:19" ht="15" customHeight="1" x14ac:dyDescent="0.25">
      <c r="A585" s="4" t="s">
        <v>15</v>
      </c>
      <c r="B585" s="1">
        <v>4312198</v>
      </c>
      <c r="C585" s="35" t="s">
        <v>6329</v>
      </c>
      <c r="D585" s="29" t="s">
        <v>2880</v>
      </c>
      <c r="E585" s="1" t="s">
        <v>2881</v>
      </c>
      <c r="F585" s="1" t="s">
        <v>354</v>
      </c>
      <c r="G585" s="4" t="s">
        <v>5627</v>
      </c>
      <c r="H585" s="4" t="s">
        <v>5720</v>
      </c>
      <c r="I585" s="4" t="s">
        <v>5697</v>
      </c>
      <c r="J585" s="2">
        <v>34944</v>
      </c>
      <c r="K585" s="1" t="s">
        <v>19</v>
      </c>
      <c r="L585" s="1" t="s">
        <v>20</v>
      </c>
      <c r="M585" s="1" t="s">
        <v>2882</v>
      </c>
      <c r="N585" s="1" t="s">
        <v>2883</v>
      </c>
      <c r="O585" s="1" t="s">
        <v>23</v>
      </c>
      <c r="P585" s="1" t="s">
        <v>2884</v>
      </c>
      <c r="Q585" s="1">
        <f>31-647834377</f>
        <v>-647834346</v>
      </c>
      <c r="R585" s="1">
        <v>2013</v>
      </c>
    </row>
    <row r="586" spans="1:19" ht="15" customHeight="1" x14ac:dyDescent="0.25">
      <c r="A586" s="32" t="s">
        <v>15</v>
      </c>
      <c r="B586" s="1">
        <v>4301218</v>
      </c>
      <c r="C586" s="35" t="s">
        <v>6330</v>
      </c>
      <c r="D586" s="29" t="s">
        <v>2913</v>
      </c>
      <c r="E586" s="1" t="s">
        <v>2914</v>
      </c>
      <c r="F586" s="1" t="s">
        <v>746</v>
      </c>
      <c r="G586" s="32" t="s">
        <v>5627</v>
      </c>
      <c r="H586" s="32" t="s">
        <v>5720</v>
      </c>
      <c r="I586" s="32" t="s">
        <v>5697</v>
      </c>
      <c r="J586" s="2">
        <v>34543</v>
      </c>
      <c r="K586" s="1" t="s">
        <v>19</v>
      </c>
      <c r="L586" s="1" t="s">
        <v>111</v>
      </c>
      <c r="M586" s="1" t="s">
        <v>2915</v>
      </c>
      <c r="N586" s="1" t="s">
        <v>2916</v>
      </c>
      <c r="O586" s="1" t="s">
        <v>23</v>
      </c>
      <c r="P586" s="1" t="s">
        <v>2917</v>
      </c>
      <c r="Q586" s="1">
        <f>31-651967412</f>
        <v>-651967381</v>
      </c>
      <c r="R586" s="1">
        <v>2013</v>
      </c>
    </row>
    <row r="587" spans="1:19" ht="15" customHeight="1" x14ac:dyDescent="0.25">
      <c r="A587" s="4" t="s">
        <v>15</v>
      </c>
      <c r="B587" s="1">
        <v>4333837</v>
      </c>
      <c r="C587" s="35" t="s">
        <v>6331</v>
      </c>
      <c r="D587" s="29" t="s">
        <v>2885</v>
      </c>
      <c r="E587" s="1" t="s">
        <v>2886</v>
      </c>
      <c r="F587" s="1" t="s">
        <v>2887</v>
      </c>
      <c r="G587" s="4" t="s">
        <v>5627</v>
      </c>
      <c r="H587" s="4" t="s">
        <v>5720</v>
      </c>
      <c r="I587" s="4" t="s">
        <v>5697</v>
      </c>
      <c r="J587" s="2">
        <v>34501</v>
      </c>
      <c r="K587" s="1" t="s">
        <v>19</v>
      </c>
      <c r="L587" s="1" t="s">
        <v>20</v>
      </c>
      <c r="M587" s="1" t="s">
        <v>2888</v>
      </c>
      <c r="N587" s="1" t="s">
        <v>2889</v>
      </c>
      <c r="O587" s="1" t="s">
        <v>23</v>
      </c>
      <c r="P587" s="1" t="s">
        <v>2890</v>
      </c>
      <c r="Q587" s="1">
        <f>31-641033252</f>
        <v>-641033221</v>
      </c>
      <c r="R587" s="1">
        <v>2013</v>
      </c>
    </row>
    <row r="588" spans="1:19" ht="15" customHeight="1" x14ac:dyDescent="0.25">
      <c r="A588" s="4" t="s">
        <v>15</v>
      </c>
      <c r="B588" s="1">
        <v>4325117</v>
      </c>
      <c r="C588" s="35" t="s">
        <v>6332</v>
      </c>
      <c r="D588" s="29" t="s">
        <v>2891</v>
      </c>
      <c r="E588" s="1" t="s">
        <v>2892</v>
      </c>
      <c r="F588" s="1" t="s">
        <v>2893</v>
      </c>
      <c r="G588" s="4" t="s">
        <v>5627</v>
      </c>
      <c r="H588" s="4" t="s">
        <v>5720</v>
      </c>
      <c r="I588" s="4" t="s">
        <v>5697</v>
      </c>
      <c r="J588" s="2">
        <v>34901</v>
      </c>
      <c r="K588" s="1" t="s">
        <v>19</v>
      </c>
      <c r="L588" s="1" t="s">
        <v>20</v>
      </c>
      <c r="M588" s="1" t="s">
        <v>2894</v>
      </c>
      <c r="N588" s="1" t="s">
        <v>2895</v>
      </c>
      <c r="O588" s="1" t="s">
        <v>23</v>
      </c>
      <c r="P588" s="1" t="s">
        <v>2896</v>
      </c>
      <c r="Q588" s="1">
        <f>31-651791184</f>
        <v>-651791153</v>
      </c>
      <c r="R588" s="1">
        <v>2013</v>
      </c>
    </row>
    <row r="589" spans="1:19" ht="15" customHeight="1" x14ac:dyDescent="0.25">
      <c r="A589" s="4" t="s">
        <v>15</v>
      </c>
      <c r="B589" s="1">
        <v>4301498</v>
      </c>
      <c r="C589" s="35" t="s">
        <v>6333</v>
      </c>
      <c r="D589" s="29" t="s">
        <v>2184</v>
      </c>
      <c r="E589" s="1" t="s">
        <v>2897</v>
      </c>
      <c r="F589" s="1" t="s">
        <v>2898</v>
      </c>
      <c r="G589" s="4" t="s">
        <v>5627</v>
      </c>
      <c r="H589" s="4" t="s">
        <v>5720</v>
      </c>
      <c r="I589" s="4" t="s">
        <v>5697</v>
      </c>
      <c r="J589" s="2">
        <v>34735</v>
      </c>
      <c r="K589" s="1" t="s">
        <v>19</v>
      </c>
      <c r="L589" s="1" t="s">
        <v>20</v>
      </c>
      <c r="M589" s="1" t="s">
        <v>2899</v>
      </c>
      <c r="N589" s="1" t="s">
        <v>2900</v>
      </c>
      <c r="O589" s="1" t="s">
        <v>23</v>
      </c>
      <c r="P589" s="1" t="s">
        <v>2901</v>
      </c>
      <c r="Q589" s="1">
        <f>31-622066846</f>
        <v>-622066815</v>
      </c>
      <c r="R589" s="1">
        <v>2013</v>
      </c>
    </row>
    <row r="590" spans="1:19" ht="15" customHeight="1" x14ac:dyDescent="0.25">
      <c r="A590" s="4" t="s">
        <v>15</v>
      </c>
      <c r="B590" s="1">
        <v>4263898</v>
      </c>
      <c r="C590" s="35" t="s">
        <v>6334</v>
      </c>
      <c r="D590" s="29" t="s">
        <v>382</v>
      </c>
      <c r="E590" s="1" t="s">
        <v>5744</v>
      </c>
      <c r="F590" s="1" t="s">
        <v>5746</v>
      </c>
      <c r="G590" s="4" t="s">
        <v>5627</v>
      </c>
      <c r="H590" s="4" t="s">
        <v>5720</v>
      </c>
      <c r="I590" s="4" t="s">
        <v>5697</v>
      </c>
      <c r="J590" s="2">
        <v>33782</v>
      </c>
      <c r="K590" s="1" t="s">
        <v>19</v>
      </c>
      <c r="L590" s="1" t="s">
        <v>20</v>
      </c>
      <c r="Q590" s="9" t="s">
        <v>5745</v>
      </c>
      <c r="R590" s="1">
        <v>2013</v>
      </c>
    </row>
    <row r="591" spans="1:19" ht="15" customHeight="1" x14ac:dyDescent="0.25">
      <c r="A591" s="4" t="s">
        <v>15</v>
      </c>
      <c r="B591" s="1">
        <v>4320018</v>
      </c>
      <c r="C591" s="35" t="s">
        <v>6335</v>
      </c>
      <c r="D591" s="29" t="s">
        <v>2902</v>
      </c>
      <c r="E591" s="1" t="s">
        <v>2903</v>
      </c>
      <c r="F591" s="1" t="s">
        <v>354</v>
      </c>
      <c r="G591" s="4" t="s">
        <v>5627</v>
      </c>
      <c r="H591" s="4" t="s">
        <v>5720</v>
      </c>
      <c r="I591" s="4" t="s">
        <v>5697</v>
      </c>
      <c r="J591" s="2">
        <v>34185</v>
      </c>
      <c r="K591" s="1" t="s">
        <v>19</v>
      </c>
      <c r="L591" s="1" t="s">
        <v>20</v>
      </c>
      <c r="M591" s="1" t="s">
        <v>2904</v>
      </c>
      <c r="N591" s="1" t="s">
        <v>2905</v>
      </c>
      <c r="O591" s="1" t="s">
        <v>23</v>
      </c>
      <c r="P591" s="1" t="s">
        <v>2906</v>
      </c>
      <c r="Q591" s="1">
        <f>31-630024766</f>
        <v>-630024735</v>
      </c>
      <c r="R591" s="1">
        <v>2013</v>
      </c>
    </row>
    <row r="592" spans="1:19" ht="15" customHeight="1" x14ac:dyDescent="0.25">
      <c r="A592" s="4" t="s">
        <v>15</v>
      </c>
      <c r="B592" s="1">
        <v>4323068</v>
      </c>
      <c r="C592" s="35" t="s">
        <v>6336</v>
      </c>
      <c r="D592" s="29" t="s">
        <v>2907</v>
      </c>
      <c r="E592" s="1" t="s">
        <v>2908</v>
      </c>
      <c r="F592" s="1" t="s">
        <v>2909</v>
      </c>
      <c r="G592" s="4" t="s">
        <v>5627</v>
      </c>
      <c r="H592" s="4" t="s">
        <v>5720</v>
      </c>
      <c r="I592" s="4" t="s">
        <v>5697</v>
      </c>
      <c r="J592" s="2">
        <v>34892</v>
      </c>
      <c r="K592" s="1" t="s">
        <v>19</v>
      </c>
      <c r="L592" s="1" t="s">
        <v>20</v>
      </c>
      <c r="M592" s="1" t="s">
        <v>2910</v>
      </c>
      <c r="N592" s="1" t="s">
        <v>2911</v>
      </c>
      <c r="O592" s="1" t="s">
        <v>23</v>
      </c>
      <c r="P592" s="1" t="s">
        <v>2912</v>
      </c>
      <c r="Q592" s="1">
        <f>31-622047477</f>
        <v>-622047446</v>
      </c>
      <c r="R592" s="1">
        <v>2013</v>
      </c>
    </row>
    <row r="593" spans="1:19" ht="15" customHeight="1" x14ac:dyDescent="0.25">
      <c r="A593" s="4" t="s">
        <v>15</v>
      </c>
      <c r="B593" s="1">
        <v>4311337</v>
      </c>
      <c r="C593" s="35" t="s">
        <v>6337</v>
      </c>
      <c r="D593" s="29" t="s">
        <v>2918</v>
      </c>
      <c r="E593" s="1" t="s">
        <v>2919</v>
      </c>
      <c r="F593" s="1" t="s">
        <v>348</v>
      </c>
      <c r="G593" s="4" t="s">
        <v>5628</v>
      </c>
      <c r="H593" s="4" t="s">
        <v>5720</v>
      </c>
      <c r="I593" s="4" t="s">
        <v>5697</v>
      </c>
      <c r="J593" s="2">
        <v>34760</v>
      </c>
      <c r="K593" s="1" t="s">
        <v>19</v>
      </c>
      <c r="L593" s="1" t="s">
        <v>20</v>
      </c>
      <c r="M593" s="1" t="s">
        <v>2920</v>
      </c>
      <c r="N593" s="1" t="s">
        <v>2921</v>
      </c>
      <c r="O593" s="1" t="s">
        <v>23</v>
      </c>
      <c r="P593" s="1" t="s">
        <v>2922</v>
      </c>
      <c r="Q593" s="1">
        <f>31-648085976</f>
        <v>-648085945</v>
      </c>
      <c r="R593" s="1">
        <v>2013</v>
      </c>
    </row>
    <row r="594" spans="1:19" ht="15" customHeight="1" x14ac:dyDescent="0.25">
      <c r="A594" s="4" t="s">
        <v>15</v>
      </c>
      <c r="B594" s="1">
        <v>4291832</v>
      </c>
      <c r="C594" s="35" t="s">
        <v>6338</v>
      </c>
      <c r="D594" s="29" t="s">
        <v>2923</v>
      </c>
      <c r="E594" s="1" t="s">
        <v>2924</v>
      </c>
      <c r="F594" s="1" t="s">
        <v>2925</v>
      </c>
      <c r="G594" s="4" t="s">
        <v>5628</v>
      </c>
      <c r="H594" s="4" t="s">
        <v>5720</v>
      </c>
      <c r="I594" s="4" t="s">
        <v>5697</v>
      </c>
      <c r="J594" s="2">
        <v>34407</v>
      </c>
      <c r="K594" s="1" t="s">
        <v>19</v>
      </c>
      <c r="L594" s="1" t="s">
        <v>20</v>
      </c>
      <c r="M594" s="1" t="s">
        <v>2926</v>
      </c>
      <c r="N594" s="1" t="s">
        <v>2927</v>
      </c>
      <c r="O594" s="1" t="s">
        <v>23</v>
      </c>
      <c r="P594" s="1" t="s">
        <v>2928</v>
      </c>
      <c r="Q594" s="1">
        <f>31-631356873</f>
        <v>-631356842</v>
      </c>
      <c r="R594" s="1">
        <v>2013</v>
      </c>
    </row>
    <row r="595" spans="1:19" ht="15" customHeight="1" x14ac:dyDescent="0.25">
      <c r="A595" s="4" t="s">
        <v>15</v>
      </c>
      <c r="B595" s="1">
        <v>4317955</v>
      </c>
      <c r="C595" s="35" t="s">
        <v>6339</v>
      </c>
      <c r="D595" s="29" t="s">
        <v>2929</v>
      </c>
      <c r="E595" s="1" t="s">
        <v>2930</v>
      </c>
      <c r="F595" s="1" t="s">
        <v>2931</v>
      </c>
      <c r="G595" s="4" t="s">
        <v>5628</v>
      </c>
      <c r="H595" s="4" t="s">
        <v>5720</v>
      </c>
      <c r="I595" s="4" t="s">
        <v>5697</v>
      </c>
      <c r="J595" s="2">
        <v>34777</v>
      </c>
      <c r="K595" s="1" t="s">
        <v>19</v>
      </c>
      <c r="L595" s="1" t="s">
        <v>20</v>
      </c>
      <c r="M595" s="1" t="s">
        <v>2932</v>
      </c>
      <c r="N595" s="1" t="s">
        <v>2933</v>
      </c>
      <c r="O595" s="1" t="s">
        <v>23</v>
      </c>
      <c r="P595" s="1" t="s">
        <v>2934</v>
      </c>
      <c r="Q595" s="1">
        <f>31-624529870</f>
        <v>-624529839</v>
      </c>
      <c r="R595" s="1">
        <v>2013</v>
      </c>
    </row>
    <row r="596" spans="1:19" ht="15" customHeight="1" x14ac:dyDescent="0.25">
      <c r="A596" s="4" t="s">
        <v>15</v>
      </c>
      <c r="B596" s="1">
        <v>4318714</v>
      </c>
      <c r="C596" s="35" t="s">
        <v>6340</v>
      </c>
      <c r="D596" s="29" t="s">
        <v>2935</v>
      </c>
      <c r="E596" s="1" t="s">
        <v>2936</v>
      </c>
      <c r="F596" s="1" t="s">
        <v>2518</v>
      </c>
      <c r="G596" s="4" t="s">
        <v>5628</v>
      </c>
      <c r="H596" s="4" t="s">
        <v>5720</v>
      </c>
      <c r="I596" s="4" t="s">
        <v>5697</v>
      </c>
      <c r="J596" s="2">
        <v>34664</v>
      </c>
      <c r="K596" s="1" t="s">
        <v>19</v>
      </c>
      <c r="L596" s="1" t="s">
        <v>20</v>
      </c>
      <c r="M596" s="1" t="s">
        <v>2937</v>
      </c>
      <c r="N596" s="1" t="s">
        <v>2938</v>
      </c>
      <c r="O596" s="1" t="s">
        <v>23</v>
      </c>
      <c r="P596" s="1" t="s">
        <v>2939</v>
      </c>
      <c r="Q596" s="1">
        <f>31-614416181</f>
        <v>-614416150</v>
      </c>
      <c r="R596" s="1">
        <v>2013</v>
      </c>
    </row>
    <row r="597" spans="1:19" ht="15" customHeight="1" x14ac:dyDescent="0.25">
      <c r="A597" s="4" t="s">
        <v>15</v>
      </c>
      <c r="B597" s="1">
        <v>4249127</v>
      </c>
      <c r="C597" s="35" t="s">
        <v>6341</v>
      </c>
      <c r="D597" s="29" t="s">
        <v>2940</v>
      </c>
      <c r="E597" s="1" t="s">
        <v>2941</v>
      </c>
      <c r="F597" s="1" t="s">
        <v>443</v>
      </c>
      <c r="G597" s="4" t="s">
        <v>5628</v>
      </c>
      <c r="H597" s="4" t="s">
        <v>5720</v>
      </c>
      <c r="I597" s="4" t="s">
        <v>5697</v>
      </c>
      <c r="J597" s="2">
        <v>33956</v>
      </c>
      <c r="K597" s="1" t="s">
        <v>19</v>
      </c>
      <c r="L597" s="1" t="s">
        <v>20</v>
      </c>
      <c r="M597" s="1" t="s">
        <v>2942</v>
      </c>
      <c r="N597" s="1" t="s">
        <v>2943</v>
      </c>
      <c r="O597" s="1" t="s">
        <v>23</v>
      </c>
      <c r="P597" s="1" t="s">
        <v>2944</v>
      </c>
      <c r="Q597" s="1">
        <f>31-654384195</f>
        <v>-654384164</v>
      </c>
      <c r="R597" s="1">
        <v>2012</v>
      </c>
      <c r="S597" s="1" t="s">
        <v>5230</v>
      </c>
    </row>
    <row r="598" spans="1:19" ht="15" customHeight="1" x14ac:dyDescent="0.25">
      <c r="A598" s="4" t="s">
        <v>15</v>
      </c>
      <c r="B598" s="1">
        <v>4289099</v>
      </c>
      <c r="C598" s="35" t="s">
        <v>6342</v>
      </c>
      <c r="D598" s="29" t="s">
        <v>2945</v>
      </c>
      <c r="E598" s="1" t="s">
        <v>2946</v>
      </c>
      <c r="F598" s="1" t="s">
        <v>591</v>
      </c>
      <c r="G598" s="4" t="s">
        <v>5628</v>
      </c>
      <c r="H598" s="4" t="s">
        <v>5720</v>
      </c>
      <c r="I598" s="4" t="s">
        <v>5697</v>
      </c>
      <c r="J598" s="2">
        <v>34957</v>
      </c>
      <c r="K598" s="1" t="s">
        <v>19</v>
      </c>
      <c r="L598" s="1" t="s">
        <v>20</v>
      </c>
      <c r="M598" s="1" t="s">
        <v>2947</v>
      </c>
      <c r="N598" s="1" t="s">
        <v>2948</v>
      </c>
      <c r="O598" s="1" t="s">
        <v>23</v>
      </c>
      <c r="P598" s="1" t="s">
        <v>2949</v>
      </c>
      <c r="Q598" s="1">
        <f>31-613773896</f>
        <v>-613773865</v>
      </c>
      <c r="R598" s="1">
        <v>2013</v>
      </c>
    </row>
    <row r="599" spans="1:19" ht="15" customHeight="1" x14ac:dyDescent="0.25">
      <c r="A599" s="4" t="s">
        <v>15</v>
      </c>
      <c r="B599" s="1">
        <v>4219910</v>
      </c>
      <c r="C599" s="35" t="s">
        <v>6343</v>
      </c>
      <c r="D599" s="29" t="s">
        <v>2950</v>
      </c>
      <c r="E599" s="1" t="s">
        <v>2951</v>
      </c>
      <c r="F599" s="1" t="s">
        <v>2952</v>
      </c>
      <c r="G599" s="4" t="s">
        <v>5628</v>
      </c>
      <c r="H599" s="4" t="s">
        <v>5720</v>
      </c>
      <c r="I599" s="4" t="s">
        <v>5697</v>
      </c>
      <c r="J599" s="2">
        <v>34556</v>
      </c>
      <c r="K599" s="1" t="s">
        <v>19</v>
      </c>
      <c r="L599" s="1" t="s">
        <v>20</v>
      </c>
      <c r="M599" s="1" t="s">
        <v>2953</v>
      </c>
      <c r="N599" s="1" t="s">
        <v>2954</v>
      </c>
      <c r="O599" s="1" t="s">
        <v>23</v>
      </c>
      <c r="P599" s="1" t="s">
        <v>2955</v>
      </c>
      <c r="Q599" s="1">
        <f>31-600000000</f>
        <v>-599999969</v>
      </c>
      <c r="R599" s="1">
        <v>2012</v>
      </c>
      <c r="S599" s="1" t="s">
        <v>88</v>
      </c>
    </row>
    <row r="600" spans="1:19" ht="15" customHeight="1" x14ac:dyDescent="0.25">
      <c r="A600" s="4" t="s">
        <v>15</v>
      </c>
      <c r="B600" s="1">
        <v>4245806</v>
      </c>
      <c r="C600" s="35" t="s">
        <v>6344</v>
      </c>
      <c r="D600" s="29" t="s">
        <v>2956</v>
      </c>
      <c r="E600" s="1" t="s">
        <v>2957</v>
      </c>
      <c r="F600" s="1" t="s">
        <v>591</v>
      </c>
      <c r="G600" s="4" t="s">
        <v>5628</v>
      </c>
      <c r="H600" s="4" t="s">
        <v>5720</v>
      </c>
      <c r="I600" s="4" t="s">
        <v>5697</v>
      </c>
      <c r="J600" s="2">
        <v>34475</v>
      </c>
      <c r="K600" s="1" t="s">
        <v>19</v>
      </c>
      <c r="L600" s="1" t="s">
        <v>20</v>
      </c>
      <c r="M600" s="1" t="s">
        <v>2958</v>
      </c>
      <c r="N600" s="1" t="s">
        <v>2959</v>
      </c>
      <c r="O600" s="1" t="s">
        <v>23</v>
      </c>
      <c r="P600" s="1" t="s">
        <v>2960</v>
      </c>
      <c r="Q600" s="1">
        <f>31-648418370</f>
        <v>-648418339</v>
      </c>
      <c r="R600" s="1">
        <v>2012</v>
      </c>
      <c r="S600" s="1" t="s">
        <v>5225</v>
      </c>
    </row>
    <row r="601" spans="1:19" ht="15" customHeight="1" x14ac:dyDescent="0.25">
      <c r="A601" s="4" t="s">
        <v>15</v>
      </c>
      <c r="B601" s="1">
        <v>4243722</v>
      </c>
      <c r="C601" s="35" t="s">
        <v>6345</v>
      </c>
      <c r="D601" s="29" t="s">
        <v>2961</v>
      </c>
      <c r="E601" s="1" t="s">
        <v>2962</v>
      </c>
      <c r="F601" s="1" t="s">
        <v>2963</v>
      </c>
      <c r="G601" s="4" t="s">
        <v>5629</v>
      </c>
      <c r="H601" s="4" t="s">
        <v>5720</v>
      </c>
      <c r="I601" s="4" t="s">
        <v>5698</v>
      </c>
      <c r="J601" s="2">
        <v>33879</v>
      </c>
      <c r="K601" s="1" t="s">
        <v>19</v>
      </c>
      <c r="L601" s="1" t="s">
        <v>20</v>
      </c>
      <c r="M601" s="1" t="s">
        <v>2964</v>
      </c>
      <c r="N601" s="1" t="s">
        <v>2965</v>
      </c>
      <c r="O601" s="1" t="s">
        <v>23</v>
      </c>
      <c r="P601" s="1" t="s">
        <v>2966</v>
      </c>
      <c r="Q601" s="1">
        <f>31-617739977</f>
        <v>-617739946</v>
      </c>
      <c r="R601" s="1">
        <v>2012</v>
      </c>
      <c r="S601" s="1" t="s">
        <v>5230</v>
      </c>
    </row>
    <row r="602" spans="1:19" ht="15" customHeight="1" x14ac:dyDescent="0.25">
      <c r="A602" s="4" t="s">
        <v>15</v>
      </c>
      <c r="B602" s="1">
        <v>4292901</v>
      </c>
      <c r="C602" s="35" t="s">
        <v>6346</v>
      </c>
      <c r="D602" s="29" t="s">
        <v>2967</v>
      </c>
      <c r="E602" s="1" t="s">
        <v>2968</v>
      </c>
      <c r="F602" s="1" t="s">
        <v>156</v>
      </c>
      <c r="G602" s="4" t="s">
        <v>5629</v>
      </c>
      <c r="H602" s="4" t="s">
        <v>5720</v>
      </c>
      <c r="I602" s="4" t="s">
        <v>5698</v>
      </c>
      <c r="J602" s="2">
        <v>34367</v>
      </c>
      <c r="K602" s="1" t="s">
        <v>19</v>
      </c>
      <c r="L602" s="1" t="s">
        <v>20</v>
      </c>
      <c r="M602" s="1" t="s">
        <v>2969</v>
      </c>
      <c r="N602" s="1" t="s">
        <v>2970</v>
      </c>
      <c r="O602" s="1" t="s">
        <v>23</v>
      </c>
      <c r="P602" s="1" t="s">
        <v>2971</v>
      </c>
      <c r="Q602" s="1">
        <f>31-612210829</f>
        <v>-612210798</v>
      </c>
      <c r="R602" s="1">
        <v>2013</v>
      </c>
    </row>
    <row r="603" spans="1:19" ht="15" customHeight="1" x14ac:dyDescent="0.25">
      <c r="A603" s="4" t="s">
        <v>15</v>
      </c>
      <c r="B603" s="1">
        <v>4208390</v>
      </c>
      <c r="C603" s="35" t="s">
        <v>6347</v>
      </c>
      <c r="D603" s="29" t="s">
        <v>2972</v>
      </c>
      <c r="E603" s="1" t="s">
        <v>2973</v>
      </c>
      <c r="F603" s="1" t="s">
        <v>1146</v>
      </c>
      <c r="G603" s="4" t="s">
        <v>5629</v>
      </c>
      <c r="H603" s="4" t="s">
        <v>5720</v>
      </c>
      <c r="I603" s="4" t="s">
        <v>5698</v>
      </c>
      <c r="J603" s="2">
        <v>34262</v>
      </c>
      <c r="K603" s="1" t="s">
        <v>19</v>
      </c>
      <c r="L603" s="1" t="s">
        <v>20</v>
      </c>
      <c r="M603" s="1" t="s">
        <v>2974</v>
      </c>
      <c r="N603" s="1" t="s">
        <v>2975</v>
      </c>
      <c r="O603" s="1" t="s">
        <v>23</v>
      </c>
      <c r="P603" s="1" t="s">
        <v>2976</v>
      </c>
      <c r="Q603" s="1">
        <f>31-623610864</f>
        <v>-623610833</v>
      </c>
      <c r="R603" s="1">
        <v>2012</v>
      </c>
      <c r="S603" s="1" t="s">
        <v>5230</v>
      </c>
    </row>
    <row r="604" spans="1:19" ht="15" customHeight="1" x14ac:dyDescent="0.25">
      <c r="A604" s="4" t="s">
        <v>15</v>
      </c>
      <c r="B604" s="1">
        <v>4312384</v>
      </c>
      <c r="C604" s="35" t="s">
        <v>6348</v>
      </c>
      <c r="D604" s="29" t="s">
        <v>746</v>
      </c>
      <c r="E604" s="1" t="s">
        <v>2977</v>
      </c>
      <c r="F604" s="1" t="s">
        <v>28</v>
      </c>
      <c r="G604" s="4" t="s">
        <v>5629</v>
      </c>
      <c r="H604" s="4" t="s">
        <v>5720</v>
      </c>
      <c r="I604" s="4" t="s">
        <v>5698</v>
      </c>
      <c r="J604" s="2">
        <v>34756</v>
      </c>
      <c r="K604" s="1" t="s">
        <v>19</v>
      </c>
      <c r="L604" s="1" t="s">
        <v>20</v>
      </c>
      <c r="M604" s="1" t="s">
        <v>2978</v>
      </c>
      <c r="N604" s="1" t="s">
        <v>2979</v>
      </c>
      <c r="O604" s="1" t="s">
        <v>23</v>
      </c>
      <c r="P604" s="1" t="s">
        <v>2980</v>
      </c>
      <c r="Q604" s="1">
        <f>31-612645787</f>
        <v>-612645756</v>
      </c>
      <c r="R604" s="1">
        <v>2013</v>
      </c>
    </row>
    <row r="605" spans="1:19" ht="15" customHeight="1" x14ac:dyDescent="0.25">
      <c r="A605" s="4" t="s">
        <v>15</v>
      </c>
      <c r="B605" s="1">
        <v>4332598</v>
      </c>
      <c r="C605" s="35" t="s">
        <v>6349</v>
      </c>
      <c r="D605" s="29" t="s">
        <v>2981</v>
      </c>
      <c r="E605" s="1" t="s">
        <v>2982</v>
      </c>
      <c r="F605" s="1" t="s">
        <v>130</v>
      </c>
      <c r="G605" s="4" t="s">
        <v>5629</v>
      </c>
      <c r="H605" s="4" t="s">
        <v>5720</v>
      </c>
      <c r="I605" s="4" t="s">
        <v>5698</v>
      </c>
      <c r="J605" s="2">
        <v>34963</v>
      </c>
      <c r="K605" s="1" t="s">
        <v>19</v>
      </c>
      <c r="L605" s="1" t="s">
        <v>20</v>
      </c>
      <c r="M605" s="1" t="s">
        <v>2983</v>
      </c>
      <c r="N605" s="1" t="s">
        <v>2984</v>
      </c>
      <c r="O605" s="1" t="s">
        <v>23</v>
      </c>
      <c r="P605" s="1" t="s">
        <v>2985</v>
      </c>
      <c r="Q605" s="1">
        <f>31-615890509</f>
        <v>-615890478</v>
      </c>
      <c r="R605" s="1">
        <v>2013</v>
      </c>
    </row>
    <row r="606" spans="1:19" ht="15" customHeight="1" x14ac:dyDescent="0.25">
      <c r="A606" s="4" t="s">
        <v>15</v>
      </c>
      <c r="B606" s="1">
        <v>4322215</v>
      </c>
      <c r="C606" s="35" t="s">
        <v>6350</v>
      </c>
      <c r="D606" s="29" t="s">
        <v>2219</v>
      </c>
      <c r="E606" s="1" t="s">
        <v>2986</v>
      </c>
      <c r="F606" s="1" t="s">
        <v>900</v>
      </c>
      <c r="G606" s="4" t="s">
        <v>5629</v>
      </c>
      <c r="H606" s="4" t="s">
        <v>5720</v>
      </c>
      <c r="I606" s="4" t="s">
        <v>5698</v>
      </c>
      <c r="J606" s="2">
        <v>34880</v>
      </c>
      <c r="K606" s="1" t="s">
        <v>19</v>
      </c>
      <c r="L606" s="1" t="s">
        <v>20</v>
      </c>
      <c r="M606" s="1" t="s">
        <v>2987</v>
      </c>
      <c r="N606" s="1" t="s">
        <v>2988</v>
      </c>
      <c r="O606" s="1" t="s">
        <v>23</v>
      </c>
      <c r="P606" s="1" t="s">
        <v>2989</v>
      </c>
      <c r="Q606" s="1">
        <f>31-653460366</f>
        <v>-653460335</v>
      </c>
      <c r="R606" s="1">
        <v>2013</v>
      </c>
    </row>
    <row r="607" spans="1:19" ht="15" customHeight="1" x14ac:dyDescent="0.25">
      <c r="A607" s="4" t="s">
        <v>15</v>
      </c>
      <c r="B607" s="1">
        <v>4323890</v>
      </c>
      <c r="C607" s="35" t="s">
        <v>6351</v>
      </c>
      <c r="D607" s="29" t="s">
        <v>2990</v>
      </c>
      <c r="E607" s="1" t="s">
        <v>5709</v>
      </c>
      <c r="F607" s="1" t="s">
        <v>84</v>
      </c>
      <c r="G607" s="4" t="s">
        <v>5629</v>
      </c>
      <c r="H607" s="4" t="s">
        <v>5720</v>
      </c>
      <c r="I607" s="4" t="s">
        <v>5698</v>
      </c>
      <c r="J607" s="2">
        <v>34300</v>
      </c>
      <c r="K607" s="1" t="s">
        <v>19</v>
      </c>
      <c r="L607" s="1" t="s">
        <v>20</v>
      </c>
      <c r="M607" s="1" t="s">
        <v>2937</v>
      </c>
      <c r="N607" s="1" t="s">
        <v>2991</v>
      </c>
      <c r="O607" s="1" t="s">
        <v>23</v>
      </c>
      <c r="P607" s="1" t="s">
        <v>2992</v>
      </c>
      <c r="Q607" s="3">
        <v>310624000000</v>
      </c>
      <c r="R607" s="1">
        <v>2013</v>
      </c>
    </row>
    <row r="608" spans="1:19" ht="15" customHeight="1" x14ac:dyDescent="0.25">
      <c r="A608" s="4" t="s">
        <v>15</v>
      </c>
      <c r="B608" s="1">
        <v>4331613</v>
      </c>
      <c r="C608" s="35" t="s">
        <v>6352</v>
      </c>
      <c r="D608" s="29" t="s">
        <v>2993</v>
      </c>
      <c r="E608" s="1" t="s">
        <v>2994</v>
      </c>
      <c r="F608" s="1" t="s">
        <v>342</v>
      </c>
      <c r="G608" s="4" t="s">
        <v>5629</v>
      </c>
      <c r="H608" s="4" t="s">
        <v>5720</v>
      </c>
      <c r="I608" s="4" t="s">
        <v>5698</v>
      </c>
      <c r="J608" s="2">
        <v>34361</v>
      </c>
      <c r="K608" s="1" t="s">
        <v>19</v>
      </c>
      <c r="L608" s="1" t="s">
        <v>20</v>
      </c>
      <c r="M608" s="1" t="s">
        <v>2995</v>
      </c>
      <c r="N608" s="1" t="s">
        <v>2996</v>
      </c>
      <c r="O608" s="1" t="s">
        <v>23</v>
      </c>
      <c r="P608" s="1" t="s">
        <v>2997</v>
      </c>
      <c r="Q608" s="1">
        <f>31-651236044</f>
        <v>-651236013</v>
      </c>
      <c r="R608" s="1">
        <v>2013</v>
      </c>
    </row>
    <row r="609" spans="1:19" ht="15" customHeight="1" x14ac:dyDescent="0.25">
      <c r="A609" s="4" t="s">
        <v>15</v>
      </c>
      <c r="B609" s="1">
        <v>4281926</v>
      </c>
      <c r="C609" s="35" t="s">
        <v>6353</v>
      </c>
      <c r="D609" s="29" t="s">
        <v>2998</v>
      </c>
      <c r="E609" s="1" t="s">
        <v>2999</v>
      </c>
      <c r="F609" s="1" t="s">
        <v>539</v>
      </c>
      <c r="G609" s="4" t="s">
        <v>5630</v>
      </c>
      <c r="H609" s="4" t="s">
        <v>5720</v>
      </c>
      <c r="I609" s="4" t="s">
        <v>5698</v>
      </c>
      <c r="J609" s="2">
        <v>34897</v>
      </c>
      <c r="K609" s="1" t="s">
        <v>19</v>
      </c>
      <c r="L609" s="1" t="s">
        <v>20</v>
      </c>
      <c r="M609" s="1" t="s">
        <v>3000</v>
      </c>
      <c r="N609" s="1" t="s">
        <v>3001</v>
      </c>
      <c r="O609" s="1" t="s">
        <v>23</v>
      </c>
      <c r="P609" s="1" t="s">
        <v>3002</v>
      </c>
      <c r="Q609" s="1">
        <f>31-640413626</f>
        <v>-640413595</v>
      </c>
      <c r="R609" s="1">
        <v>2013</v>
      </c>
    </row>
    <row r="610" spans="1:19" ht="15" customHeight="1" x14ac:dyDescent="0.25">
      <c r="A610" s="4" t="s">
        <v>15</v>
      </c>
      <c r="B610" s="1">
        <v>4305353</v>
      </c>
      <c r="C610" s="35" t="s">
        <v>6354</v>
      </c>
      <c r="D610" s="29" t="s">
        <v>3028</v>
      </c>
      <c r="E610" s="1" t="s">
        <v>3029</v>
      </c>
      <c r="F610" s="1" t="s">
        <v>3030</v>
      </c>
      <c r="G610" s="4" t="s">
        <v>5630</v>
      </c>
      <c r="H610" s="4" t="s">
        <v>5720</v>
      </c>
      <c r="I610" s="4" t="s">
        <v>5698</v>
      </c>
      <c r="J610" s="2">
        <v>34913</v>
      </c>
      <c r="K610" s="1" t="s">
        <v>19</v>
      </c>
      <c r="L610" s="1" t="s">
        <v>111</v>
      </c>
      <c r="M610" s="1" t="s">
        <v>3031</v>
      </c>
      <c r="N610" s="1" t="s">
        <v>3032</v>
      </c>
      <c r="O610" s="1" t="s">
        <v>23</v>
      </c>
      <c r="P610" s="1" t="s">
        <v>3033</v>
      </c>
      <c r="Q610" s="1">
        <f>31-637226233</f>
        <v>-637226202</v>
      </c>
      <c r="R610" s="1">
        <v>2013</v>
      </c>
    </row>
    <row r="611" spans="1:19" ht="15" customHeight="1" x14ac:dyDescent="0.25">
      <c r="A611" s="4" t="s">
        <v>15</v>
      </c>
      <c r="B611" s="1">
        <v>4298004</v>
      </c>
      <c r="C611" s="35" t="s">
        <v>6355</v>
      </c>
      <c r="D611" s="29" t="s">
        <v>3034</v>
      </c>
      <c r="E611" s="1" t="s">
        <v>3035</v>
      </c>
      <c r="F611" s="1" t="s">
        <v>3036</v>
      </c>
      <c r="G611" s="4" t="s">
        <v>5630</v>
      </c>
      <c r="H611" s="4" t="s">
        <v>5720</v>
      </c>
      <c r="I611" s="4" t="s">
        <v>5698</v>
      </c>
      <c r="J611" s="2">
        <v>34871</v>
      </c>
      <c r="K611" s="1" t="s">
        <v>19</v>
      </c>
      <c r="L611" s="1" t="s">
        <v>111</v>
      </c>
      <c r="M611" s="1" t="s">
        <v>3037</v>
      </c>
      <c r="N611" s="1" t="s">
        <v>3038</v>
      </c>
      <c r="O611" s="1" t="s">
        <v>23</v>
      </c>
      <c r="P611" s="1" t="s">
        <v>3039</v>
      </c>
      <c r="Q611" s="1">
        <f>31-630510207</f>
        <v>-630510176</v>
      </c>
      <c r="R611" s="1">
        <v>2013</v>
      </c>
    </row>
    <row r="612" spans="1:19" ht="15" customHeight="1" x14ac:dyDescent="0.25">
      <c r="A612" s="4" t="s">
        <v>15</v>
      </c>
      <c r="B612" s="1">
        <v>4272838</v>
      </c>
      <c r="C612" s="35" t="s">
        <v>6356</v>
      </c>
      <c r="D612" s="29" t="s">
        <v>3003</v>
      </c>
      <c r="E612" s="1" t="s">
        <v>3004</v>
      </c>
      <c r="F612" s="1" t="s">
        <v>834</v>
      </c>
      <c r="G612" s="4" t="s">
        <v>5630</v>
      </c>
      <c r="H612" s="4" t="s">
        <v>5720</v>
      </c>
      <c r="I612" s="4" t="s">
        <v>5698</v>
      </c>
      <c r="J612" s="2">
        <v>34942</v>
      </c>
      <c r="K612" s="1" t="s">
        <v>19</v>
      </c>
      <c r="L612" s="1" t="s">
        <v>20</v>
      </c>
      <c r="M612" s="1" t="s">
        <v>3005</v>
      </c>
      <c r="N612" s="1" t="s">
        <v>3006</v>
      </c>
      <c r="O612" s="1" t="s">
        <v>23</v>
      </c>
      <c r="P612" s="1" t="s">
        <v>3007</v>
      </c>
      <c r="Q612" s="1">
        <f>31-643216660</f>
        <v>-643216629</v>
      </c>
      <c r="R612" s="1">
        <v>2013</v>
      </c>
    </row>
    <row r="613" spans="1:19" ht="15" customHeight="1" x14ac:dyDescent="0.25">
      <c r="A613" s="4" t="s">
        <v>15</v>
      </c>
      <c r="B613" s="1">
        <v>4238435</v>
      </c>
      <c r="C613" s="35" t="s">
        <v>6357</v>
      </c>
      <c r="D613" s="29" t="s">
        <v>3008</v>
      </c>
      <c r="E613" s="1" t="s">
        <v>3009</v>
      </c>
      <c r="F613" s="1" t="s">
        <v>2083</v>
      </c>
      <c r="G613" s="4" t="s">
        <v>5630</v>
      </c>
      <c r="H613" s="4" t="s">
        <v>5720</v>
      </c>
      <c r="I613" s="4" t="s">
        <v>5698</v>
      </c>
      <c r="J613" s="2">
        <v>34422</v>
      </c>
      <c r="K613" s="1" t="s">
        <v>19</v>
      </c>
      <c r="L613" s="1" t="s">
        <v>20</v>
      </c>
      <c r="M613" s="1" t="s">
        <v>3010</v>
      </c>
      <c r="N613" s="1" t="s">
        <v>3011</v>
      </c>
      <c r="O613" s="1" t="s">
        <v>23</v>
      </c>
      <c r="P613" s="1" t="s">
        <v>3012</v>
      </c>
      <c r="Q613" s="1">
        <f>31-644494878</f>
        <v>-644494847</v>
      </c>
      <c r="R613" s="1">
        <v>2013</v>
      </c>
    </row>
    <row r="614" spans="1:19" ht="15" customHeight="1" x14ac:dyDescent="0.25">
      <c r="A614" s="4" t="s">
        <v>15</v>
      </c>
      <c r="B614" s="1">
        <v>4285956</v>
      </c>
      <c r="C614" s="35" t="s">
        <v>6358</v>
      </c>
      <c r="D614" s="29" t="s">
        <v>3013</v>
      </c>
      <c r="E614" s="1" t="s">
        <v>3014</v>
      </c>
      <c r="F614" s="1" t="s">
        <v>1582</v>
      </c>
      <c r="G614" s="4" t="s">
        <v>5630</v>
      </c>
      <c r="H614" s="4" t="s">
        <v>5720</v>
      </c>
      <c r="I614" s="4" t="s">
        <v>5698</v>
      </c>
      <c r="J614" s="2">
        <v>34638</v>
      </c>
      <c r="K614" s="1" t="s">
        <v>19</v>
      </c>
      <c r="L614" s="1" t="s">
        <v>20</v>
      </c>
      <c r="M614" s="1" t="s">
        <v>3015</v>
      </c>
      <c r="N614" s="1" t="s">
        <v>3016</v>
      </c>
      <c r="O614" s="1" t="s">
        <v>23</v>
      </c>
      <c r="P614" s="1" t="s">
        <v>3017</v>
      </c>
      <c r="Q614" s="1">
        <f>31-612261442</f>
        <v>-612261411</v>
      </c>
      <c r="R614" s="1">
        <v>2013</v>
      </c>
    </row>
    <row r="615" spans="1:19" ht="15" customHeight="1" x14ac:dyDescent="0.25">
      <c r="A615" s="4" t="s">
        <v>15</v>
      </c>
      <c r="B615" s="1">
        <v>4305302</v>
      </c>
      <c r="C615" s="35" t="s">
        <v>6359</v>
      </c>
      <c r="D615" s="29" t="s">
        <v>3022</v>
      </c>
      <c r="E615" s="1" t="s">
        <v>3023</v>
      </c>
      <c r="F615" s="1" t="s">
        <v>3024</v>
      </c>
      <c r="G615" s="4" t="s">
        <v>5630</v>
      </c>
      <c r="H615" s="4" t="s">
        <v>5720</v>
      </c>
      <c r="I615" s="4" t="s">
        <v>5698</v>
      </c>
      <c r="J615" s="2">
        <v>34711</v>
      </c>
      <c r="K615" s="1" t="s">
        <v>19</v>
      </c>
      <c r="L615" s="1" t="s">
        <v>20</v>
      </c>
      <c r="M615" s="1" t="s">
        <v>3025</v>
      </c>
      <c r="N615" s="1" t="s">
        <v>3026</v>
      </c>
      <c r="O615" s="1" t="s">
        <v>23</v>
      </c>
      <c r="P615" s="1" t="s">
        <v>3027</v>
      </c>
      <c r="Q615" s="1">
        <f>31-642318612</f>
        <v>-642318581</v>
      </c>
      <c r="R615" s="1">
        <v>2013</v>
      </c>
    </row>
    <row r="616" spans="1:19" ht="15" customHeight="1" x14ac:dyDescent="0.25">
      <c r="A616" s="4" t="s">
        <v>15</v>
      </c>
      <c r="B616" s="1">
        <v>4322878</v>
      </c>
      <c r="C616" s="35" t="s">
        <v>6360</v>
      </c>
      <c r="D616" s="29" t="s">
        <v>809</v>
      </c>
      <c r="E616" s="1" t="s">
        <v>3018</v>
      </c>
      <c r="F616" s="1" t="s">
        <v>54</v>
      </c>
      <c r="G616" s="4" t="s">
        <v>5630</v>
      </c>
      <c r="H616" s="4" t="s">
        <v>5720</v>
      </c>
      <c r="I616" s="4" t="s">
        <v>5698</v>
      </c>
      <c r="J616" s="2">
        <v>34689</v>
      </c>
      <c r="K616" s="1" t="s">
        <v>19</v>
      </c>
      <c r="L616" s="1" t="s">
        <v>20</v>
      </c>
      <c r="M616" s="1" t="s">
        <v>3019</v>
      </c>
      <c r="N616" s="1" t="s">
        <v>3020</v>
      </c>
      <c r="O616" s="1" t="s">
        <v>23</v>
      </c>
      <c r="P616" s="1" t="s">
        <v>3021</v>
      </c>
      <c r="Q616" s="1">
        <f>31-657341997</f>
        <v>-657341966</v>
      </c>
      <c r="R616" s="1">
        <v>2013</v>
      </c>
    </row>
    <row r="617" spans="1:19" ht="15" customHeight="1" x14ac:dyDescent="0.25">
      <c r="A617" s="4" t="s">
        <v>15</v>
      </c>
      <c r="B617" s="1">
        <v>4002164</v>
      </c>
      <c r="C617" s="35" t="s">
        <v>6361</v>
      </c>
      <c r="D617" s="29" t="s">
        <v>3040</v>
      </c>
      <c r="E617" s="1" t="s">
        <v>3041</v>
      </c>
      <c r="F617" s="1" t="s">
        <v>754</v>
      </c>
      <c r="G617" s="4" t="s">
        <v>5631</v>
      </c>
      <c r="H617" s="4" t="s">
        <v>5720</v>
      </c>
      <c r="I617" s="4" t="s">
        <v>5699</v>
      </c>
      <c r="J617" s="2">
        <v>33467</v>
      </c>
      <c r="K617" s="1" t="s">
        <v>19</v>
      </c>
      <c r="L617" s="1" t="s">
        <v>20</v>
      </c>
      <c r="M617" s="1" t="s">
        <v>3042</v>
      </c>
      <c r="N617" s="1" t="s">
        <v>3043</v>
      </c>
      <c r="O617" s="1" t="s">
        <v>23</v>
      </c>
      <c r="P617" s="1" t="s">
        <v>3044</v>
      </c>
      <c r="R617" s="1">
        <v>2009</v>
      </c>
      <c r="S617" s="1" t="s">
        <v>5232</v>
      </c>
    </row>
    <row r="618" spans="1:19" ht="15" customHeight="1" x14ac:dyDescent="0.25">
      <c r="A618" s="4" t="s">
        <v>15</v>
      </c>
      <c r="B618" s="1">
        <v>4319567</v>
      </c>
      <c r="C618" s="35" t="s">
        <v>6362</v>
      </c>
      <c r="D618" s="29" t="s">
        <v>827</v>
      </c>
      <c r="E618" s="1" t="s">
        <v>3045</v>
      </c>
      <c r="F618" s="1" t="s">
        <v>603</v>
      </c>
      <c r="G618" s="4" t="s">
        <v>5631</v>
      </c>
      <c r="H618" s="4" t="s">
        <v>5720</v>
      </c>
      <c r="I618" s="4" t="s">
        <v>5699</v>
      </c>
      <c r="J618" s="2">
        <v>34703</v>
      </c>
      <c r="K618" s="1" t="s">
        <v>19</v>
      </c>
      <c r="L618" s="1" t="s">
        <v>20</v>
      </c>
      <c r="M618" s="1" t="s">
        <v>3046</v>
      </c>
      <c r="N618" s="1" t="s">
        <v>3047</v>
      </c>
      <c r="O618" s="1" t="s">
        <v>23</v>
      </c>
      <c r="P618" s="1" t="s">
        <v>3048</v>
      </c>
      <c r="Q618" s="1">
        <f>31-652513999</f>
        <v>-652513968</v>
      </c>
      <c r="R618" s="1">
        <v>2013</v>
      </c>
    </row>
    <row r="619" spans="1:19" ht="15" customHeight="1" x14ac:dyDescent="0.25">
      <c r="A619" s="4" t="s">
        <v>15</v>
      </c>
      <c r="B619" s="1">
        <v>4320158</v>
      </c>
      <c r="C619" s="35" t="s">
        <v>6363</v>
      </c>
      <c r="D619" s="29" t="s">
        <v>3064</v>
      </c>
      <c r="E619" s="1" t="s">
        <v>3065</v>
      </c>
      <c r="F619" s="1" t="s">
        <v>3066</v>
      </c>
      <c r="G619" s="4" t="s">
        <v>5631</v>
      </c>
      <c r="H619" s="4" t="s">
        <v>5720</v>
      </c>
      <c r="I619" s="4" t="s">
        <v>5699</v>
      </c>
      <c r="J619" s="2">
        <v>34729</v>
      </c>
      <c r="K619" s="1" t="s">
        <v>19</v>
      </c>
      <c r="L619" s="1" t="s">
        <v>20</v>
      </c>
      <c r="M619" s="1" t="s">
        <v>3067</v>
      </c>
      <c r="N619" s="1" t="s">
        <v>3068</v>
      </c>
      <c r="O619" s="1" t="s">
        <v>23</v>
      </c>
      <c r="P619" s="1" t="s">
        <v>3069</v>
      </c>
      <c r="Q619" s="1">
        <f>31-643795379</f>
        <v>-643795348</v>
      </c>
      <c r="R619" s="1">
        <v>2013</v>
      </c>
    </row>
    <row r="620" spans="1:19" ht="15" customHeight="1" x14ac:dyDescent="0.25">
      <c r="A620" s="4" t="s">
        <v>15</v>
      </c>
      <c r="B620" s="1">
        <v>4299612</v>
      </c>
      <c r="C620" s="35" t="s">
        <v>6364</v>
      </c>
      <c r="D620" s="29" t="s">
        <v>3076</v>
      </c>
      <c r="E620" s="1" t="s">
        <v>3077</v>
      </c>
      <c r="F620" s="1" t="s">
        <v>3078</v>
      </c>
      <c r="G620" s="4" t="s">
        <v>5631</v>
      </c>
      <c r="H620" s="4" t="s">
        <v>5720</v>
      </c>
      <c r="I620" s="4" t="s">
        <v>5699</v>
      </c>
      <c r="J620" s="2">
        <v>35172</v>
      </c>
      <c r="K620" s="1" t="s">
        <v>19</v>
      </c>
      <c r="L620" s="1" t="s">
        <v>111</v>
      </c>
      <c r="M620" s="1" t="s">
        <v>3079</v>
      </c>
      <c r="N620" s="1" t="s">
        <v>3080</v>
      </c>
      <c r="O620" s="1" t="s">
        <v>23</v>
      </c>
      <c r="P620" s="1" t="s">
        <v>3081</v>
      </c>
      <c r="Q620" s="1">
        <f>31-643694858</f>
        <v>-643694827</v>
      </c>
      <c r="R620" s="1">
        <v>2013</v>
      </c>
    </row>
    <row r="621" spans="1:19" ht="15" customHeight="1" x14ac:dyDescent="0.25">
      <c r="A621" s="4" t="s">
        <v>15</v>
      </c>
      <c r="B621" s="1">
        <v>4328124</v>
      </c>
      <c r="C621" s="35" t="s">
        <v>6365</v>
      </c>
      <c r="D621" s="29" t="s">
        <v>3049</v>
      </c>
      <c r="E621" s="1" t="s">
        <v>3050</v>
      </c>
      <c r="F621" s="1" t="s">
        <v>528</v>
      </c>
      <c r="G621" s="4" t="s">
        <v>5631</v>
      </c>
      <c r="H621" s="4" t="s">
        <v>5720</v>
      </c>
      <c r="I621" s="4" t="s">
        <v>5699</v>
      </c>
      <c r="J621" s="2">
        <v>34650</v>
      </c>
      <c r="K621" s="1" t="s">
        <v>19</v>
      </c>
      <c r="L621" s="1" t="s">
        <v>20</v>
      </c>
      <c r="M621" s="1" t="s">
        <v>3051</v>
      </c>
      <c r="N621" s="1" t="s">
        <v>3052</v>
      </c>
      <c r="O621" s="1" t="s">
        <v>23</v>
      </c>
      <c r="P621" s="1" t="s">
        <v>3053</v>
      </c>
      <c r="Q621" s="1">
        <f>31-623143287</f>
        <v>-623143256</v>
      </c>
      <c r="R621" s="1">
        <v>2013</v>
      </c>
    </row>
    <row r="622" spans="1:19" ht="15" customHeight="1" x14ac:dyDescent="0.25">
      <c r="A622" s="4" t="s">
        <v>15</v>
      </c>
      <c r="B622" s="1">
        <v>4309499</v>
      </c>
      <c r="C622" s="35" t="s">
        <v>6366</v>
      </c>
      <c r="D622" s="29" t="s">
        <v>3070</v>
      </c>
      <c r="E622" s="1" t="s">
        <v>3071</v>
      </c>
      <c r="F622" s="1" t="s">
        <v>3072</v>
      </c>
      <c r="G622" s="4" t="s">
        <v>5631</v>
      </c>
      <c r="H622" s="4" t="s">
        <v>5720</v>
      </c>
      <c r="I622" s="4" t="s">
        <v>5699</v>
      </c>
      <c r="J622" s="2">
        <v>34397</v>
      </c>
      <c r="K622" s="1" t="s">
        <v>19</v>
      </c>
      <c r="L622" s="1" t="s">
        <v>20</v>
      </c>
      <c r="M622" s="1" t="s">
        <v>3073</v>
      </c>
      <c r="N622" s="1" t="s">
        <v>3074</v>
      </c>
      <c r="O622" s="1" t="s">
        <v>23</v>
      </c>
      <c r="P622" s="1" t="s">
        <v>3075</v>
      </c>
      <c r="Q622" s="1">
        <f>31-640020373</f>
        <v>-640020342</v>
      </c>
      <c r="R622" s="1">
        <v>2013</v>
      </c>
    </row>
    <row r="623" spans="1:19" ht="15" customHeight="1" x14ac:dyDescent="0.25">
      <c r="A623" s="4" t="s">
        <v>15</v>
      </c>
      <c r="B623" s="1">
        <v>4303377</v>
      </c>
      <c r="C623" s="35" t="s">
        <v>6367</v>
      </c>
      <c r="D623" s="29" t="s">
        <v>3054</v>
      </c>
      <c r="E623" s="1" t="s">
        <v>3055</v>
      </c>
      <c r="F623" s="1" t="s">
        <v>1413</v>
      </c>
      <c r="G623" s="4" t="s">
        <v>5631</v>
      </c>
      <c r="H623" s="4" t="s">
        <v>5720</v>
      </c>
      <c r="I623" s="4" t="s">
        <v>5699</v>
      </c>
      <c r="J623" s="2">
        <v>34836</v>
      </c>
      <c r="K623" s="1" t="s">
        <v>19</v>
      </c>
      <c r="L623" s="1" t="s">
        <v>20</v>
      </c>
      <c r="M623" s="1" t="s">
        <v>3056</v>
      </c>
      <c r="N623" s="1" t="s">
        <v>3057</v>
      </c>
      <c r="O623" s="1" t="s">
        <v>23</v>
      </c>
      <c r="P623" s="1" t="s">
        <v>3058</v>
      </c>
      <c r="Q623" s="1">
        <f>31-641522622</f>
        <v>-641522591</v>
      </c>
      <c r="R623" s="1">
        <v>2013</v>
      </c>
    </row>
    <row r="624" spans="1:19" ht="15" customHeight="1" x14ac:dyDescent="0.25">
      <c r="A624" s="4" t="s">
        <v>15</v>
      </c>
      <c r="B624" s="1">
        <v>4233271</v>
      </c>
      <c r="C624" s="35" t="s">
        <v>6368</v>
      </c>
      <c r="D624" s="29" t="s">
        <v>854</v>
      </c>
      <c r="E624" s="1" t="s">
        <v>3059</v>
      </c>
      <c r="F624" s="1" t="s">
        <v>3060</v>
      </c>
      <c r="G624" s="4" t="s">
        <v>5631</v>
      </c>
      <c r="H624" s="4" t="s">
        <v>5720</v>
      </c>
      <c r="I624" s="4" t="s">
        <v>5699</v>
      </c>
      <c r="J624" s="2">
        <v>34377</v>
      </c>
      <c r="K624" s="1" t="s">
        <v>19</v>
      </c>
      <c r="L624" s="1" t="s">
        <v>20</v>
      </c>
      <c r="M624" s="1" t="s">
        <v>3061</v>
      </c>
      <c r="N624" s="1" t="s">
        <v>3062</v>
      </c>
      <c r="O624" s="1" t="s">
        <v>23</v>
      </c>
      <c r="P624" s="1" t="s">
        <v>3063</v>
      </c>
      <c r="Q624" s="1">
        <f>31-636497202</f>
        <v>-636497171</v>
      </c>
      <c r="R624" s="1">
        <v>2012</v>
      </c>
      <c r="S624" s="1" t="s">
        <v>88</v>
      </c>
    </row>
    <row r="625" spans="1:19" ht="15" customHeight="1" x14ac:dyDescent="0.25">
      <c r="A625" s="4" t="s">
        <v>15</v>
      </c>
      <c r="B625" s="1">
        <v>4221583</v>
      </c>
      <c r="C625" s="35" t="s">
        <v>6535</v>
      </c>
      <c r="D625" s="29" t="s">
        <v>6536</v>
      </c>
      <c r="E625" s="1" t="s">
        <v>6537</v>
      </c>
      <c r="F625" s="1" t="s">
        <v>2401</v>
      </c>
      <c r="G625" s="4" t="s">
        <v>5632</v>
      </c>
      <c r="H625" s="4" t="s">
        <v>5720</v>
      </c>
      <c r="I625" s="4" t="s">
        <v>5699</v>
      </c>
      <c r="J625" s="2">
        <v>33974</v>
      </c>
      <c r="K625" s="1" t="s">
        <v>19</v>
      </c>
      <c r="L625" s="1" t="s">
        <v>20</v>
      </c>
      <c r="R625" s="1">
        <v>2012</v>
      </c>
      <c r="S625" s="1" t="s">
        <v>5249</v>
      </c>
    </row>
    <row r="626" spans="1:19" ht="15" customHeight="1" x14ac:dyDescent="0.25">
      <c r="A626" s="34" t="s">
        <v>15</v>
      </c>
      <c r="B626" s="1">
        <v>4173163</v>
      </c>
      <c r="C626" s="35" t="s">
        <v>6369</v>
      </c>
      <c r="D626" s="29" t="s">
        <v>3110</v>
      </c>
      <c r="E626" s="1" t="s">
        <v>3111</v>
      </c>
      <c r="F626" s="1" t="s">
        <v>1246</v>
      </c>
      <c r="G626" s="34" t="s">
        <v>5632</v>
      </c>
      <c r="H626" s="34" t="s">
        <v>5720</v>
      </c>
      <c r="I626" s="34" t="s">
        <v>5699</v>
      </c>
      <c r="J626" s="2">
        <v>33974</v>
      </c>
      <c r="K626" s="1" t="s">
        <v>19</v>
      </c>
      <c r="L626" s="1" t="s">
        <v>20</v>
      </c>
      <c r="M626" s="1" t="s">
        <v>3112</v>
      </c>
      <c r="N626" s="1" t="s">
        <v>3113</v>
      </c>
      <c r="O626" s="1" t="s">
        <v>23</v>
      </c>
      <c r="P626" s="1" t="s">
        <v>3114</v>
      </c>
      <c r="Q626" s="1">
        <f>31-621888185</f>
        <v>-621888154</v>
      </c>
      <c r="R626" s="1">
        <v>2011</v>
      </c>
      <c r="S626" s="1" t="s">
        <v>5230</v>
      </c>
    </row>
    <row r="627" spans="1:19" ht="15" customHeight="1" x14ac:dyDescent="0.25">
      <c r="A627" s="4" t="s">
        <v>15</v>
      </c>
      <c r="B627" s="1">
        <v>4325370</v>
      </c>
      <c r="C627" s="35" t="s">
        <v>6370</v>
      </c>
      <c r="D627" s="29" t="s">
        <v>3082</v>
      </c>
      <c r="E627" s="1" t="s">
        <v>3083</v>
      </c>
      <c r="F627" s="1" t="s">
        <v>3084</v>
      </c>
      <c r="G627" s="4" t="s">
        <v>5632</v>
      </c>
      <c r="H627" s="4" t="s">
        <v>5720</v>
      </c>
      <c r="I627" s="4" t="s">
        <v>5699</v>
      </c>
      <c r="J627" s="2">
        <v>34645</v>
      </c>
      <c r="K627" s="1" t="s">
        <v>19</v>
      </c>
      <c r="L627" s="1" t="s">
        <v>20</v>
      </c>
      <c r="M627" s="1" t="s">
        <v>3085</v>
      </c>
      <c r="N627" s="1" t="s">
        <v>3086</v>
      </c>
      <c r="O627" s="1" t="s">
        <v>23</v>
      </c>
      <c r="P627" s="1" t="s">
        <v>3087</v>
      </c>
      <c r="Q627" s="1">
        <f>31-634466864</f>
        <v>-634466833</v>
      </c>
      <c r="R627" s="1">
        <v>2013</v>
      </c>
    </row>
    <row r="628" spans="1:19" ht="15" customHeight="1" x14ac:dyDescent="0.25">
      <c r="A628" s="4" t="s">
        <v>15</v>
      </c>
      <c r="B628" s="1">
        <v>4319761</v>
      </c>
      <c r="C628" s="35" t="s">
        <v>6371</v>
      </c>
      <c r="D628" s="29" t="s">
        <v>3088</v>
      </c>
      <c r="E628" s="1" t="s">
        <v>3089</v>
      </c>
      <c r="F628" s="1" t="s">
        <v>1236</v>
      </c>
      <c r="G628" s="4" t="s">
        <v>5632</v>
      </c>
      <c r="H628" s="4" t="s">
        <v>5720</v>
      </c>
      <c r="I628" s="4" t="s">
        <v>5699</v>
      </c>
      <c r="J628" s="2">
        <v>35132</v>
      </c>
      <c r="K628" s="1" t="s">
        <v>19</v>
      </c>
      <c r="L628" s="1" t="s">
        <v>20</v>
      </c>
      <c r="M628" s="1" t="s">
        <v>3090</v>
      </c>
      <c r="N628" s="1" t="s">
        <v>3091</v>
      </c>
      <c r="O628" s="1" t="s">
        <v>23</v>
      </c>
      <c r="P628" s="1" t="s">
        <v>3092</v>
      </c>
      <c r="Q628" s="1">
        <f>31-646207937</f>
        <v>-646207906</v>
      </c>
      <c r="R628" s="1">
        <v>2013</v>
      </c>
    </row>
    <row r="629" spans="1:19" ht="15" customHeight="1" x14ac:dyDescent="0.25">
      <c r="A629" s="4" t="s">
        <v>15</v>
      </c>
      <c r="B629" s="1">
        <v>4321758</v>
      </c>
      <c r="C629" s="35" t="s">
        <v>6372</v>
      </c>
      <c r="D629" s="29" t="s">
        <v>3099</v>
      </c>
      <c r="E629" s="1" t="s">
        <v>3100</v>
      </c>
      <c r="F629" s="1" t="s">
        <v>3101</v>
      </c>
      <c r="G629" s="4" t="s">
        <v>5632</v>
      </c>
      <c r="H629" s="4" t="s">
        <v>5720</v>
      </c>
      <c r="I629" s="4" t="s">
        <v>5699</v>
      </c>
      <c r="J629" s="2">
        <v>34753</v>
      </c>
      <c r="K629" s="1" t="s">
        <v>19</v>
      </c>
      <c r="L629" s="1" t="s">
        <v>20</v>
      </c>
      <c r="M629" s="1" t="s">
        <v>3102</v>
      </c>
      <c r="N629" s="1" t="s">
        <v>3103</v>
      </c>
      <c r="O629" s="1" t="s">
        <v>23</v>
      </c>
      <c r="P629" s="1" t="s">
        <v>3104</v>
      </c>
      <c r="Q629" s="1">
        <f>31-627542696</f>
        <v>-627542665</v>
      </c>
      <c r="R629" s="1">
        <v>2013</v>
      </c>
    </row>
    <row r="630" spans="1:19" ht="15" customHeight="1" x14ac:dyDescent="0.25">
      <c r="A630" s="4" t="s">
        <v>15</v>
      </c>
      <c r="B630" s="1">
        <v>4214110</v>
      </c>
      <c r="C630" s="35" t="s">
        <v>6373</v>
      </c>
      <c r="D630" s="29" t="s">
        <v>3105</v>
      </c>
      <c r="E630" s="1" t="s">
        <v>3106</v>
      </c>
      <c r="F630" s="1" t="s">
        <v>265</v>
      </c>
      <c r="G630" s="4" t="s">
        <v>5632</v>
      </c>
      <c r="H630" s="4" t="s">
        <v>5720</v>
      </c>
      <c r="I630" s="4" t="s">
        <v>5699</v>
      </c>
      <c r="J630" s="2">
        <v>34281</v>
      </c>
      <c r="K630" s="1" t="s">
        <v>19</v>
      </c>
      <c r="L630" s="1" t="s">
        <v>20</v>
      </c>
      <c r="M630" s="1" t="s">
        <v>3107</v>
      </c>
      <c r="N630" s="1" t="s">
        <v>3108</v>
      </c>
      <c r="O630" s="1" t="s">
        <v>23</v>
      </c>
      <c r="P630" s="1" t="s">
        <v>3109</v>
      </c>
      <c r="Q630" s="1">
        <f>31-630582568</f>
        <v>-630582537</v>
      </c>
      <c r="R630" s="1">
        <v>2012</v>
      </c>
      <c r="S630" s="1" t="s">
        <v>88</v>
      </c>
    </row>
    <row r="631" spans="1:19" ht="15" customHeight="1" x14ac:dyDescent="0.25">
      <c r="A631" s="4" t="s">
        <v>15</v>
      </c>
      <c r="B631" s="1">
        <v>4259130</v>
      </c>
      <c r="C631" s="35" t="s">
        <v>6374</v>
      </c>
      <c r="D631" s="29" t="s">
        <v>809</v>
      </c>
      <c r="E631" s="1" t="s">
        <v>3121</v>
      </c>
      <c r="F631" s="1" t="s">
        <v>3122</v>
      </c>
      <c r="G631" s="4" t="s">
        <v>5632</v>
      </c>
      <c r="H631" s="4" t="s">
        <v>5720</v>
      </c>
      <c r="I631" s="4" t="s">
        <v>5699</v>
      </c>
      <c r="J631" s="2">
        <v>34611</v>
      </c>
      <c r="K631" s="1" t="s">
        <v>19</v>
      </c>
      <c r="L631" s="1" t="s">
        <v>111</v>
      </c>
      <c r="M631" s="1" t="s">
        <v>3123</v>
      </c>
      <c r="N631" s="1" t="s">
        <v>3124</v>
      </c>
      <c r="O631" s="1" t="s">
        <v>23</v>
      </c>
      <c r="P631" s="1" t="s">
        <v>3125</v>
      </c>
      <c r="Q631" s="1">
        <f>31-644061077</f>
        <v>-644061046</v>
      </c>
      <c r="R631" s="1">
        <v>2012</v>
      </c>
      <c r="S631" s="1" t="s">
        <v>5238</v>
      </c>
    </row>
    <row r="632" spans="1:19" ht="15" customHeight="1" x14ac:dyDescent="0.25">
      <c r="A632" s="4" t="s">
        <v>15</v>
      </c>
      <c r="B632" s="1">
        <v>4317262</v>
      </c>
      <c r="C632" s="35" t="s">
        <v>6375</v>
      </c>
      <c r="D632" s="29" t="s">
        <v>3126</v>
      </c>
      <c r="E632" s="1" t="s">
        <v>3127</v>
      </c>
      <c r="F632" s="1" t="s">
        <v>528</v>
      </c>
      <c r="G632" s="4" t="s">
        <v>5633</v>
      </c>
      <c r="H632" s="4" t="s">
        <v>5720</v>
      </c>
      <c r="I632" s="4" t="s">
        <v>5700</v>
      </c>
      <c r="J632" s="2">
        <v>34572</v>
      </c>
      <c r="K632" s="1" t="s">
        <v>19</v>
      </c>
      <c r="L632" s="1" t="s">
        <v>20</v>
      </c>
      <c r="M632" s="1" t="s">
        <v>3128</v>
      </c>
      <c r="N632" s="1" t="s">
        <v>3129</v>
      </c>
      <c r="O632" s="1" t="s">
        <v>23</v>
      </c>
      <c r="P632" s="1" t="s">
        <v>3130</v>
      </c>
      <c r="Q632" s="1">
        <f>31-633877898</f>
        <v>-633877867</v>
      </c>
      <c r="R632" s="1">
        <v>2013</v>
      </c>
    </row>
    <row r="633" spans="1:19" ht="15" customHeight="1" x14ac:dyDescent="0.25">
      <c r="A633" s="4" t="s">
        <v>15</v>
      </c>
      <c r="B633" s="1">
        <v>4290798</v>
      </c>
      <c r="C633" s="35" t="s">
        <v>6376</v>
      </c>
      <c r="D633" s="29" t="s">
        <v>3131</v>
      </c>
      <c r="E633" s="1" t="s">
        <v>3132</v>
      </c>
      <c r="F633" s="1" t="s">
        <v>3133</v>
      </c>
      <c r="G633" s="4" t="s">
        <v>5633</v>
      </c>
      <c r="H633" s="4" t="s">
        <v>5720</v>
      </c>
      <c r="I633" s="4" t="s">
        <v>5700</v>
      </c>
      <c r="J633" s="2">
        <v>34349</v>
      </c>
      <c r="K633" s="1" t="s">
        <v>19</v>
      </c>
      <c r="L633" s="1" t="s">
        <v>20</v>
      </c>
      <c r="M633" s="1" t="s">
        <v>3134</v>
      </c>
      <c r="N633" s="1" t="s">
        <v>3135</v>
      </c>
      <c r="O633" s="1" t="s">
        <v>23</v>
      </c>
      <c r="P633" s="1" t="s">
        <v>3136</v>
      </c>
      <c r="Q633" s="1">
        <f>31-636274691</f>
        <v>-636274660</v>
      </c>
      <c r="R633" s="1">
        <v>2013</v>
      </c>
    </row>
    <row r="634" spans="1:19" ht="15" customHeight="1" x14ac:dyDescent="0.25">
      <c r="A634" s="4" t="s">
        <v>15</v>
      </c>
      <c r="B634" s="1">
        <v>4283457</v>
      </c>
      <c r="C634" s="35" t="s">
        <v>6377</v>
      </c>
      <c r="D634" s="29" t="s">
        <v>3137</v>
      </c>
      <c r="E634" s="1" t="s">
        <v>3138</v>
      </c>
      <c r="F634" s="1" t="s">
        <v>3139</v>
      </c>
      <c r="G634" s="4" t="s">
        <v>5633</v>
      </c>
      <c r="H634" s="4" t="s">
        <v>5720</v>
      </c>
      <c r="I634" s="4" t="s">
        <v>5700</v>
      </c>
      <c r="J634" s="2">
        <v>34870</v>
      </c>
      <c r="K634" s="1" t="s">
        <v>19</v>
      </c>
      <c r="L634" s="1" t="s">
        <v>20</v>
      </c>
      <c r="M634" s="1" t="s">
        <v>3140</v>
      </c>
      <c r="N634" s="1" t="s">
        <v>3141</v>
      </c>
      <c r="O634" s="1" t="s">
        <v>23</v>
      </c>
      <c r="P634" s="1" t="s">
        <v>3142</v>
      </c>
      <c r="Q634" s="1">
        <f>31-658846714</f>
        <v>-658846683</v>
      </c>
      <c r="R634" s="1">
        <v>2013</v>
      </c>
    </row>
    <row r="635" spans="1:19" ht="15" customHeight="1" x14ac:dyDescent="0.25">
      <c r="A635" s="4" t="s">
        <v>15</v>
      </c>
      <c r="B635" s="1">
        <v>4277910</v>
      </c>
      <c r="C635" s="35" t="s">
        <v>6378</v>
      </c>
      <c r="D635" s="29" t="s">
        <v>3143</v>
      </c>
      <c r="E635" s="1" t="s">
        <v>3144</v>
      </c>
      <c r="F635" s="1" t="s">
        <v>3145</v>
      </c>
      <c r="G635" s="4" t="s">
        <v>5633</v>
      </c>
      <c r="H635" s="4" t="s">
        <v>5720</v>
      </c>
      <c r="I635" s="4" t="s">
        <v>5700</v>
      </c>
      <c r="J635" s="2">
        <v>34964</v>
      </c>
      <c r="K635" s="1" t="s">
        <v>19</v>
      </c>
      <c r="L635" s="1" t="s">
        <v>20</v>
      </c>
      <c r="M635" s="1" t="s">
        <v>3146</v>
      </c>
      <c r="N635" s="1" t="s">
        <v>3147</v>
      </c>
      <c r="O635" s="1" t="s">
        <v>23</v>
      </c>
      <c r="P635" s="1" t="s">
        <v>3148</v>
      </c>
      <c r="Q635" s="1">
        <f>31-610607171</f>
        <v>-610607140</v>
      </c>
      <c r="R635" s="1">
        <v>2013</v>
      </c>
    </row>
    <row r="636" spans="1:19" ht="15" customHeight="1" x14ac:dyDescent="0.25">
      <c r="A636" s="4" t="s">
        <v>15</v>
      </c>
      <c r="B636" s="1">
        <v>4298780</v>
      </c>
      <c r="C636" s="35" t="s">
        <v>6379</v>
      </c>
      <c r="D636" s="29" t="s">
        <v>3149</v>
      </c>
      <c r="E636" s="1" t="s">
        <v>3150</v>
      </c>
      <c r="F636" s="1" t="s">
        <v>3151</v>
      </c>
      <c r="G636" s="4" t="s">
        <v>5633</v>
      </c>
      <c r="H636" s="4" t="s">
        <v>5720</v>
      </c>
      <c r="I636" s="4" t="s">
        <v>5700</v>
      </c>
      <c r="J636" s="2">
        <v>35008</v>
      </c>
      <c r="K636" s="1" t="s">
        <v>19</v>
      </c>
      <c r="L636" s="1" t="s">
        <v>20</v>
      </c>
      <c r="M636" s="1" t="s">
        <v>3152</v>
      </c>
      <c r="N636" s="1" t="s">
        <v>3153</v>
      </c>
      <c r="O636" s="1" t="s">
        <v>23</v>
      </c>
      <c r="P636" s="1" t="s">
        <v>3154</v>
      </c>
      <c r="Q636" s="1">
        <f>31-654224857</f>
        <v>-654224826</v>
      </c>
      <c r="R636" s="1">
        <v>2013</v>
      </c>
    </row>
    <row r="637" spans="1:19" ht="15" customHeight="1" x14ac:dyDescent="0.25">
      <c r="A637" s="4" t="s">
        <v>15</v>
      </c>
      <c r="B637" s="1">
        <v>4211308</v>
      </c>
      <c r="C637" s="35" t="s">
        <v>6380</v>
      </c>
      <c r="D637" s="29" t="s">
        <v>619</v>
      </c>
      <c r="E637" s="1" t="s">
        <v>3161</v>
      </c>
      <c r="F637" s="1" t="s">
        <v>3162</v>
      </c>
      <c r="G637" s="4" t="s">
        <v>5633</v>
      </c>
      <c r="H637" s="4" t="s">
        <v>5720</v>
      </c>
      <c r="I637" s="4" t="s">
        <v>5700</v>
      </c>
      <c r="J637" s="2">
        <v>34163</v>
      </c>
      <c r="K637" s="1" t="s">
        <v>19</v>
      </c>
      <c r="L637" s="1" t="s">
        <v>111</v>
      </c>
      <c r="M637" s="1" t="s">
        <v>3163</v>
      </c>
      <c r="N637" s="1" t="s">
        <v>3164</v>
      </c>
      <c r="O637" s="1" t="s">
        <v>23</v>
      </c>
      <c r="P637" s="1" t="s">
        <v>3165</v>
      </c>
      <c r="Q637" s="1">
        <f>31-617376606</f>
        <v>-617376575</v>
      </c>
      <c r="R637" s="1">
        <v>2012</v>
      </c>
      <c r="S637" s="1" t="s">
        <v>88</v>
      </c>
    </row>
    <row r="638" spans="1:19" ht="15" customHeight="1" x14ac:dyDescent="0.25">
      <c r="A638" s="4" t="s">
        <v>15</v>
      </c>
      <c r="B638" s="1">
        <v>4333152</v>
      </c>
      <c r="C638" s="35" t="s">
        <v>6381</v>
      </c>
      <c r="D638" s="29" t="s">
        <v>4661</v>
      </c>
      <c r="E638" s="1" t="s">
        <v>4662</v>
      </c>
      <c r="F638" s="1" t="s">
        <v>48</v>
      </c>
      <c r="G638" s="4" t="s">
        <v>5633</v>
      </c>
      <c r="H638" s="4" t="s">
        <v>5720</v>
      </c>
      <c r="I638" s="4" t="s">
        <v>5700</v>
      </c>
      <c r="J638" s="2">
        <v>34650</v>
      </c>
      <c r="K638" s="1" t="s">
        <v>19</v>
      </c>
      <c r="L638" s="1" t="s">
        <v>20</v>
      </c>
      <c r="M638" s="1" t="s">
        <v>4663</v>
      </c>
      <c r="N638" s="1" t="s">
        <v>4664</v>
      </c>
      <c r="O638" s="1" t="s">
        <v>23</v>
      </c>
      <c r="P638" s="1" t="s">
        <v>4665</v>
      </c>
      <c r="Q638" s="1">
        <f>31-636124161</f>
        <v>-636124130</v>
      </c>
      <c r="R638" s="1">
        <v>2013</v>
      </c>
    </row>
    <row r="639" spans="1:19" ht="15" customHeight="1" x14ac:dyDescent="0.25">
      <c r="A639" s="4" t="s">
        <v>15</v>
      </c>
      <c r="B639" s="1">
        <v>4296958</v>
      </c>
      <c r="C639" s="35" t="s">
        <v>6382</v>
      </c>
      <c r="D639" s="29" t="s">
        <v>3155</v>
      </c>
      <c r="E639" s="1" t="s">
        <v>3156</v>
      </c>
      <c r="F639" s="1" t="s">
        <v>3157</v>
      </c>
      <c r="G639" s="4" t="s">
        <v>5633</v>
      </c>
      <c r="H639" s="4" t="s">
        <v>5720</v>
      </c>
      <c r="I639" s="4" t="s">
        <v>5700</v>
      </c>
      <c r="J639" s="2">
        <v>34545</v>
      </c>
      <c r="K639" s="1" t="s">
        <v>19</v>
      </c>
      <c r="L639" s="1" t="s">
        <v>20</v>
      </c>
      <c r="M639" s="1" t="s">
        <v>3158</v>
      </c>
      <c r="N639" s="1" t="s">
        <v>3159</v>
      </c>
      <c r="O639" s="1" t="s">
        <v>23</v>
      </c>
      <c r="P639" s="1" t="s">
        <v>3160</v>
      </c>
      <c r="Q639" s="1">
        <f>31-624857976</f>
        <v>-624857945</v>
      </c>
      <c r="R639" s="1">
        <v>2013</v>
      </c>
    </row>
    <row r="640" spans="1:19" ht="15" customHeight="1" x14ac:dyDescent="0.25">
      <c r="A640" s="4" t="s">
        <v>15</v>
      </c>
      <c r="B640" s="1">
        <v>4276531</v>
      </c>
      <c r="C640" s="35" t="s">
        <v>6383</v>
      </c>
      <c r="D640" s="29" t="s">
        <v>3166</v>
      </c>
      <c r="E640" s="1" t="s">
        <v>3167</v>
      </c>
      <c r="F640" s="1" t="s">
        <v>3168</v>
      </c>
      <c r="G640" s="4" t="s">
        <v>5634</v>
      </c>
      <c r="H640" s="4" t="s">
        <v>5720</v>
      </c>
      <c r="I640" s="4" t="s">
        <v>5700</v>
      </c>
      <c r="J640" s="2">
        <v>34826</v>
      </c>
      <c r="K640" s="1" t="s">
        <v>19</v>
      </c>
      <c r="L640" s="1" t="s">
        <v>20</v>
      </c>
      <c r="M640" s="1" t="s">
        <v>3169</v>
      </c>
      <c r="N640" s="1" t="s">
        <v>3170</v>
      </c>
      <c r="O640" s="1" t="s">
        <v>23</v>
      </c>
      <c r="P640" s="1" t="s">
        <v>3171</v>
      </c>
      <c r="Q640" s="1">
        <f>31-643216255</f>
        <v>-643216224</v>
      </c>
      <c r="R640" s="1">
        <v>2013</v>
      </c>
    </row>
    <row r="641" spans="1:20" ht="15" customHeight="1" x14ac:dyDescent="0.25">
      <c r="A641" s="4" t="s">
        <v>15</v>
      </c>
      <c r="B641" s="1">
        <v>4281810</v>
      </c>
      <c r="C641" s="35" t="s">
        <v>6384</v>
      </c>
      <c r="D641" s="29" t="s">
        <v>26</v>
      </c>
      <c r="E641" s="1" t="s">
        <v>3172</v>
      </c>
      <c r="F641" s="1" t="s">
        <v>643</v>
      </c>
      <c r="G641" s="4" t="s">
        <v>5634</v>
      </c>
      <c r="H641" s="4" t="s">
        <v>5720</v>
      </c>
      <c r="I641" s="4" t="s">
        <v>5700</v>
      </c>
      <c r="J641" s="2">
        <v>34909</v>
      </c>
      <c r="K641" s="1" t="s">
        <v>19</v>
      </c>
      <c r="L641" s="1" t="s">
        <v>20</v>
      </c>
      <c r="M641" s="1" t="s">
        <v>3173</v>
      </c>
      <c r="N641" s="1" t="s">
        <v>3174</v>
      </c>
      <c r="O641" s="1" t="s">
        <v>23</v>
      </c>
      <c r="P641" s="1" t="s">
        <v>3175</v>
      </c>
      <c r="Q641" s="1">
        <f>31-641022902</f>
        <v>-641022871</v>
      </c>
      <c r="R641" s="1">
        <v>2013</v>
      </c>
    </row>
    <row r="642" spans="1:20" ht="15" customHeight="1" x14ac:dyDescent="0.25">
      <c r="A642" s="4" t="s">
        <v>15</v>
      </c>
      <c r="B642" s="1">
        <v>4293681</v>
      </c>
      <c r="C642" s="35" t="s">
        <v>6385</v>
      </c>
      <c r="D642" s="29" t="s">
        <v>3176</v>
      </c>
      <c r="E642" s="1" t="s">
        <v>3177</v>
      </c>
      <c r="F642" s="1" t="s">
        <v>3178</v>
      </c>
      <c r="G642" s="4" t="s">
        <v>5634</v>
      </c>
      <c r="H642" s="4" t="s">
        <v>5720</v>
      </c>
      <c r="I642" s="4" t="s">
        <v>5700</v>
      </c>
      <c r="J642" s="2">
        <v>34919</v>
      </c>
      <c r="K642" s="1" t="s">
        <v>19</v>
      </c>
      <c r="L642" s="1" t="s">
        <v>20</v>
      </c>
      <c r="M642" s="1" t="s">
        <v>3179</v>
      </c>
      <c r="N642" s="1" t="s">
        <v>3180</v>
      </c>
      <c r="O642" s="1" t="s">
        <v>23</v>
      </c>
      <c r="P642" s="1" t="s">
        <v>3181</v>
      </c>
      <c r="Q642" s="1">
        <f>31-623405820</f>
        <v>-623405789</v>
      </c>
      <c r="R642" s="1">
        <v>2013</v>
      </c>
    </row>
    <row r="643" spans="1:20" ht="15" customHeight="1" x14ac:dyDescent="0.25">
      <c r="A643" s="4" t="s">
        <v>15</v>
      </c>
      <c r="B643" s="1">
        <v>4299736</v>
      </c>
      <c r="C643" s="35" t="s">
        <v>6386</v>
      </c>
      <c r="D643" s="29" t="s">
        <v>3182</v>
      </c>
      <c r="E643" s="1" t="s">
        <v>3183</v>
      </c>
      <c r="F643" s="1" t="s">
        <v>928</v>
      </c>
      <c r="G643" s="4" t="s">
        <v>5634</v>
      </c>
      <c r="H643" s="4" t="s">
        <v>5720</v>
      </c>
      <c r="I643" s="4" t="s">
        <v>5700</v>
      </c>
      <c r="J643" s="2">
        <v>34950</v>
      </c>
      <c r="K643" s="1" t="s">
        <v>19</v>
      </c>
      <c r="L643" s="1" t="s">
        <v>20</v>
      </c>
      <c r="M643" s="1" t="s">
        <v>3184</v>
      </c>
      <c r="N643" s="1" t="s">
        <v>3185</v>
      </c>
      <c r="O643" s="1" t="s">
        <v>23</v>
      </c>
      <c r="P643" s="1" t="s">
        <v>3186</v>
      </c>
      <c r="Q643" s="1">
        <f>31-621470964</f>
        <v>-621470933</v>
      </c>
      <c r="R643" s="1">
        <v>2013</v>
      </c>
    </row>
    <row r="644" spans="1:20" ht="15" customHeight="1" x14ac:dyDescent="0.25">
      <c r="A644" s="4" t="s">
        <v>15</v>
      </c>
      <c r="B644" s="1">
        <v>4299523</v>
      </c>
      <c r="C644" s="35" t="s">
        <v>6387</v>
      </c>
      <c r="D644" s="29" t="s">
        <v>4324</v>
      </c>
      <c r="E644" s="1" t="s">
        <v>4325</v>
      </c>
      <c r="F644" s="1" t="s">
        <v>2925</v>
      </c>
      <c r="G644" s="4" t="s">
        <v>5634</v>
      </c>
      <c r="H644" s="4" t="s">
        <v>5720</v>
      </c>
      <c r="I644" s="4" t="s">
        <v>5700</v>
      </c>
      <c r="J644" s="2">
        <v>34736</v>
      </c>
      <c r="K644" s="1" t="s">
        <v>19</v>
      </c>
      <c r="L644" s="1" t="s">
        <v>20</v>
      </c>
      <c r="M644" s="1" t="s">
        <v>4326</v>
      </c>
      <c r="N644" s="1" t="s">
        <v>4327</v>
      </c>
      <c r="O644" s="1" t="s">
        <v>23</v>
      </c>
      <c r="P644" s="1" t="s">
        <v>4328</v>
      </c>
      <c r="R644" s="1">
        <v>2013</v>
      </c>
    </row>
    <row r="645" spans="1:20" ht="15" customHeight="1" x14ac:dyDescent="0.25">
      <c r="A645" s="4" t="s">
        <v>15</v>
      </c>
      <c r="B645" s="1">
        <v>4301560</v>
      </c>
      <c r="C645" s="35" t="s">
        <v>6388</v>
      </c>
      <c r="D645" s="29" t="s">
        <v>3187</v>
      </c>
      <c r="E645" s="1" t="s">
        <v>3188</v>
      </c>
      <c r="F645" s="1" t="s">
        <v>928</v>
      </c>
      <c r="G645" s="4" t="s">
        <v>5634</v>
      </c>
      <c r="H645" s="4" t="s">
        <v>5720</v>
      </c>
      <c r="I645" s="4" t="s">
        <v>5700</v>
      </c>
      <c r="J645" s="2">
        <v>34907</v>
      </c>
      <c r="K645" s="1" t="s">
        <v>19</v>
      </c>
      <c r="L645" s="1" t="s">
        <v>20</v>
      </c>
      <c r="M645" s="1" t="s">
        <v>3189</v>
      </c>
      <c r="N645" s="1" t="s">
        <v>3190</v>
      </c>
      <c r="O645" s="1" t="s">
        <v>23</v>
      </c>
      <c r="P645" s="1" t="s">
        <v>3191</v>
      </c>
      <c r="Q645" s="1">
        <f>31-681173236</f>
        <v>-681173205</v>
      </c>
      <c r="R645" s="1">
        <v>2013</v>
      </c>
    </row>
    <row r="646" spans="1:20" ht="15" customHeight="1" x14ac:dyDescent="0.25">
      <c r="A646" s="4" t="s">
        <v>15</v>
      </c>
      <c r="B646" s="1">
        <v>4291654</v>
      </c>
      <c r="C646" s="35" t="s">
        <v>6389</v>
      </c>
      <c r="D646" s="29" t="s">
        <v>3192</v>
      </c>
      <c r="E646" s="1" t="s">
        <v>3193</v>
      </c>
      <c r="F646" s="1" t="s">
        <v>3194</v>
      </c>
      <c r="G646" s="4" t="s">
        <v>5634</v>
      </c>
      <c r="H646" s="4" t="s">
        <v>5720</v>
      </c>
      <c r="I646" s="4" t="s">
        <v>5700</v>
      </c>
      <c r="J646" s="2">
        <v>34974</v>
      </c>
      <c r="K646" s="1" t="s">
        <v>19</v>
      </c>
      <c r="L646" s="1" t="s">
        <v>20</v>
      </c>
      <c r="M646" s="1" t="s">
        <v>3195</v>
      </c>
      <c r="N646" s="1">
        <v>1050</v>
      </c>
      <c r="O646" s="1" t="s">
        <v>140</v>
      </c>
      <c r="P646" s="1" t="s">
        <v>3196</v>
      </c>
      <c r="R646" s="1">
        <v>2013</v>
      </c>
    </row>
    <row r="647" spans="1:20" ht="15" customHeight="1" x14ac:dyDescent="0.25">
      <c r="A647" s="4" t="s">
        <v>15</v>
      </c>
      <c r="B647" s="1">
        <v>4211863</v>
      </c>
      <c r="C647" s="35" t="s">
        <v>6390</v>
      </c>
      <c r="D647" s="29" t="s">
        <v>3197</v>
      </c>
      <c r="E647" s="1" t="s">
        <v>3198</v>
      </c>
      <c r="F647" s="1" t="s">
        <v>289</v>
      </c>
      <c r="G647" s="4" t="s">
        <v>5634</v>
      </c>
      <c r="H647" s="4" t="s">
        <v>5720</v>
      </c>
      <c r="I647" s="4" t="s">
        <v>5700</v>
      </c>
      <c r="J647" s="2">
        <v>34071</v>
      </c>
      <c r="K647" s="1" t="s">
        <v>19</v>
      </c>
      <c r="L647" s="1" t="s">
        <v>20</v>
      </c>
      <c r="M647" s="1" t="s">
        <v>3199</v>
      </c>
      <c r="N647" s="1" t="s">
        <v>3200</v>
      </c>
      <c r="O647" s="1" t="s">
        <v>23</v>
      </c>
      <c r="P647" s="1" t="s">
        <v>3201</v>
      </c>
      <c r="Q647" s="1">
        <f>31-620675920</f>
        <v>-620675889</v>
      </c>
      <c r="R647" s="1">
        <v>2012</v>
      </c>
      <c r="S647" s="1" t="s">
        <v>88</v>
      </c>
    </row>
    <row r="648" spans="1:20" ht="15" customHeight="1" x14ac:dyDescent="0.25">
      <c r="A648" s="4" t="s">
        <v>15</v>
      </c>
      <c r="B648" s="1">
        <v>4335775</v>
      </c>
      <c r="C648" s="35" t="s">
        <v>6391</v>
      </c>
      <c r="D648" s="29" t="s">
        <v>3202</v>
      </c>
      <c r="E648" s="1" t="s">
        <v>3203</v>
      </c>
      <c r="F648" s="1" t="s">
        <v>414</v>
      </c>
      <c r="G648" s="4" t="s">
        <v>5635</v>
      </c>
      <c r="H648" s="4" t="s">
        <v>5720</v>
      </c>
      <c r="I648" s="4" t="s">
        <v>5701</v>
      </c>
      <c r="J648" s="2">
        <v>34249</v>
      </c>
      <c r="K648" s="1" t="s">
        <v>19</v>
      </c>
      <c r="L648" s="1" t="s">
        <v>20</v>
      </c>
      <c r="M648" s="1" t="s">
        <v>3204</v>
      </c>
      <c r="N648" s="1" t="s">
        <v>3205</v>
      </c>
      <c r="O648" s="1" t="s">
        <v>23</v>
      </c>
      <c r="P648" s="1" t="s">
        <v>3206</v>
      </c>
      <c r="Q648" s="1">
        <f>31-644768332</f>
        <v>-644768301</v>
      </c>
      <c r="R648" s="1">
        <v>2013</v>
      </c>
    </row>
    <row r="649" spans="1:20" ht="15" customHeight="1" x14ac:dyDescent="0.25">
      <c r="A649" s="4" t="s">
        <v>15</v>
      </c>
      <c r="B649" s="1">
        <v>4302664</v>
      </c>
      <c r="C649" s="35" t="s">
        <v>6392</v>
      </c>
      <c r="D649" s="29" t="s">
        <v>5253</v>
      </c>
      <c r="E649" s="1" t="s">
        <v>5254</v>
      </c>
      <c r="F649" s="1" t="s">
        <v>5255</v>
      </c>
      <c r="G649" s="4" t="s">
        <v>5635</v>
      </c>
      <c r="H649" s="4" t="s">
        <v>5720</v>
      </c>
      <c r="I649" s="4" t="s">
        <v>5701</v>
      </c>
      <c r="J649" s="2">
        <v>34823</v>
      </c>
      <c r="K649" s="1" t="s">
        <v>19</v>
      </c>
      <c r="L649" s="1" t="s">
        <v>20</v>
      </c>
      <c r="R649" s="1">
        <v>2013</v>
      </c>
      <c r="T649" s="1" t="s">
        <v>5256</v>
      </c>
    </row>
    <row r="650" spans="1:20" ht="15" customHeight="1" x14ac:dyDescent="0.25">
      <c r="A650" s="4" t="s">
        <v>15</v>
      </c>
      <c r="B650" s="1">
        <v>4287541</v>
      </c>
      <c r="C650" s="35" t="s">
        <v>6393</v>
      </c>
      <c r="D650" s="29" t="s">
        <v>5651</v>
      </c>
      <c r="E650" s="1" t="s">
        <v>5652</v>
      </c>
      <c r="F650" s="1" t="s">
        <v>1146</v>
      </c>
      <c r="G650" s="4" t="s">
        <v>5635</v>
      </c>
      <c r="H650" s="4" t="s">
        <v>5720</v>
      </c>
      <c r="I650" s="4" t="s">
        <v>5701</v>
      </c>
      <c r="J650" s="2">
        <v>34815</v>
      </c>
      <c r="K650" s="1" t="s">
        <v>19</v>
      </c>
      <c r="L650" s="1" t="s">
        <v>20</v>
      </c>
      <c r="O650" s="1" t="s">
        <v>23</v>
      </c>
      <c r="P650" s="10" t="s">
        <v>5653</v>
      </c>
      <c r="Q650" s="1" t="s">
        <v>5654</v>
      </c>
      <c r="R650" s="1">
        <v>2013</v>
      </c>
    </row>
    <row r="651" spans="1:20" ht="15" customHeight="1" x14ac:dyDescent="0.25">
      <c r="A651" s="4" t="s">
        <v>15</v>
      </c>
      <c r="B651" s="1">
        <v>4291891</v>
      </c>
      <c r="C651" s="35" t="s">
        <v>6394</v>
      </c>
      <c r="D651" s="29" t="s">
        <v>310</v>
      </c>
      <c r="E651" s="1" t="s">
        <v>3207</v>
      </c>
      <c r="F651" s="1" t="s">
        <v>218</v>
      </c>
      <c r="G651" s="4" t="s">
        <v>5635</v>
      </c>
      <c r="H651" s="4" t="s">
        <v>5720</v>
      </c>
      <c r="I651" s="4" t="s">
        <v>5701</v>
      </c>
      <c r="J651" s="2">
        <v>34857</v>
      </c>
      <c r="K651" s="1" t="s">
        <v>19</v>
      </c>
      <c r="L651" s="1" t="s">
        <v>20</v>
      </c>
      <c r="M651" s="1" t="s">
        <v>3208</v>
      </c>
      <c r="N651" s="1" t="s">
        <v>3209</v>
      </c>
      <c r="O651" s="1" t="s">
        <v>23</v>
      </c>
      <c r="P651" s="1" t="s">
        <v>3210</v>
      </c>
      <c r="Q651" s="1">
        <f>31-649498136</f>
        <v>-649498105</v>
      </c>
      <c r="R651" s="1">
        <v>2013</v>
      </c>
    </row>
    <row r="652" spans="1:20" ht="15" customHeight="1" x14ac:dyDescent="0.25">
      <c r="A652" s="4" t="s">
        <v>15</v>
      </c>
      <c r="B652" s="1">
        <v>4310594</v>
      </c>
      <c r="C652" s="35" t="s">
        <v>6395</v>
      </c>
      <c r="D652" s="29" t="s">
        <v>3211</v>
      </c>
      <c r="E652" s="1" t="s">
        <v>3212</v>
      </c>
      <c r="F652" s="1" t="s">
        <v>545</v>
      </c>
      <c r="G652" s="4" t="s">
        <v>5635</v>
      </c>
      <c r="H652" s="4" t="s">
        <v>5720</v>
      </c>
      <c r="I652" s="4" t="s">
        <v>5701</v>
      </c>
      <c r="J652" s="2">
        <v>34239</v>
      </c>
      <c r="K652" s="1" t="s">
        <v>19</v>
      </c>
      <c r="L652" s="1" t="s">
        <v>20</v>
      </c>
      <c r="M652" s="1" t="s">
        <v>3213</v>
      </c>
      <c r="N652" s="1" t="s">
        <v>847</v>
      </c>
      <c r="O652" s="1" t="s">
        <v>23</v>
      </c>
      <c r="P652" s="1" t="s">
        <v>3214</v>
      </c>
      <c r="Q652" s="1">
        <f>31-631791383</f>
        <v>-631791352</v>
      </c>
      <c r="R652" s="1">
        <v>2013</v>
      </c>
    </row>
    <row r="653" spans="1:20" ht="15" customHeight="1" x14ac:dyDescent="0.25">
      <c r="A653" s="4" t="s">
        <v>15</v>
      </c>
      <c r="B653" s="1">
        <v>4305906</v>
      </c>
      <c r="C653" s="35" t="s">
        <v>6396</v>
      </c>
      <c r="D653" s="29" t="s">
        <v>3215</v>
      </c>
      <c r="E653" s="1" t="s">
        <v>3216</v>
      </c>
      <c r="F653" s="1" t="s">
        <v>3217</v>
      </c>
      <c r="G653" s="4" t="s">
        <v>5635</v>
      </c>
      <c r="H653" s="4" t="s">
        <v>5720</v>
      </c>
      <c r="I653" s="4" t="s">
        <v>5701</v>
      </c>
      <c r="J653" s="2">
        <v>34844</v>
      </c>
      <c r="K653" s="1" t="s">
        <v>19</v>
      </c>
      <c r="L653" s="1" t="s">
        <v>20</v>
      </c>
      <c r="M653" s="1" t="s">
        <v>3218</v>
      </c>
      <c r="N653" s="1" t="s">
        <v>3219</v>
      </c>
      <c r="O653" s="1" t="s">
        <v>23</v>
      </c>
      <c r="P653" s="1" t="s">
        <v>3220</v>
      </c>
      <c r="Q653" s="1">
        <f>33-627326873</f>
        <v>-627326840</v>
      </c>
      <c r="R653" s="1">
        <v>2013</v>
      </c>
    </row>
    <row r="654" spans="1:20" ht="15" customHeight="1" x14ac:dyDescent="0.25">
      <c r="A654" s="4" t="s">
        <v>15</v>
      </c>
      <c r="B654" s="1">
        <v>4293223</v>
      </c>
      <c r="C654" s="35" t="s">
        <v>6397</v>
      </c>
      <c r="D654" s="29" t="s">
        <v>3221</v>
      </c>
      <c r="E654" s="1" t="s">
        <v>3222</v>
      </c>
      <c r="F654" s="1" t="s">
        <v>2259</v>
      </c>
      <c r="G654" s="4" t="s">
        <v>5635</v>
      </c>
      <c r="H654" s="4" t="s">
        <v>5720</v>
      </c>
      <c r="I654" s="4" t="s">
        <v>5701</v>
      </c>
      <c r="J654" s="2">
        <v>35006</v>
      </c>
      <c r="K654" s="1" t="s">
        <v>19</v>
      </c>
      <c r="L654" s="1" t="s">
        <v>20</v>
      </c>
      <c r="M654" s="1" t="s">
        <v>3223</v>
      </c>
      <c r="N654" s="1" t="s">
        <v>3224</v>
      </c>
      <c r="O654" s="1" t="s">
        <v>23</v>
      </c>
      <c r="P654" s="1" t="s">
        <v>3225</v>
      </c>
      <c r="Q654" s="1">
        <f>31-647349363</f>
        <v>-647349332</v>
      </c>
      <c r="R654" s="1">
        <v>2013</v>
      </c>
    </row>
    <row r="655" spans="1:20" ht="15" customHeight="1" x14ac:dyDescent="0.25">
      <c r="A655" s="4" t="s">
        <v>15</v>
      </c>
      <c r="B655" s="1">
        <v>4319648</v>
      </c>
      <c r="C655" s="35" t="s">
        <v>6398</v>
      </c>
      <c r="D655" s="29" t="s">
        <v>3226</v>
      </c>
      <c r="E655" s="1" t="s">
        <v>3227</v>
      </c>
      <c r="F655" s="1" t="s">
        <v>805</v>
      </c>
      <c r="G655" s="4" t="s">
        <v>5635</v>
      </c>
      <c r="H655" s="4" t="s">
        <v>5720</v>
      </c>
      <c r="I655" s="4" t="s">
        <v>5701</v>
      </c>
      <c r="J655" s="2">
        <v>34740</v>
      </c>
      <c r="K655" s="1" t="s">
        <v>19</v>
      </c>
      <c r="L655" s="1" t="s">
        <v>20</v>
      </c>
      <c r="M655" s="1" t="s">
        <v>3228</v>
      </c>
      <c r="N655" s="1" t="s">
        <v>3229</v>
      </c>
      <c r="O655" s="1" t="s">
        <v>23</v>
      </c>
      <c r="P655" s="1" t="s">
        <v>3230</v>
      </c>
      <c r="R655" s="1">
        <v>2013</v>
      </c>
    </row>
    <row r="656" spans="1:20" ht="15" customHeight="1" x14ac:dyDescent="0.25">
      <c r="A656" s="4" t="s">
        <v>15</v>
      </c>
      <c r="B656" s="1">
        <v>4297393</v>
      </c>
      <c r="C656" s="35" t="s">
        <v>6399</v>
      </c>
      <c r="D656" s="29" t="s">
        <v>3231</v>
      </c>
      <c r="E656" s="1" t="s">
        <v>3232</v>
      </c>
      <c r="F656" s="1" t="s">
        <v>3233</v>
      </c>
      <c r="G656" s="4" t="s">
        <v>5635</v>
      </c>
      <c r="H656" s="4" t="s">
        <v>5720</v>
      </c>
      <c r="I656" s="4" t="s">
        <v>5701</v>
      </c>
      <c r="J656" s="2">
        <v>34665</v>
      </c>
      <c r="K656" s="1" t="s">
        <v>19</v>
      </c>
      <c r="L656" s="1" t="s">
        <v>20</v>
      </c>
      <c r="M656" s="1" t="s">
        <v>3234</v>
      </c>
      <c r="N656" s="1" t="s">
        <v>3235</v>
      </c>
      <c r="O656" s="1" t="s">
        <v>23</v>
      </c>
      <c r="P656" s="1" t="s">
        <v>3236</v>
      </c>
      <c r="Q656" s="1">
        <f>31-620253679</f>
        <v>-620253648</v>
      </c>
      <c r="R656" s="1">
        <v>2013</v>
      </c>
    </row>
    <row r="657" spans="1:19" ht="15" customHeight="1" x14ac:dyDescent="0.25">
      <c r="A657" s="4" t="s">
        <v>15</v>
      </c>
      <c r="B657" s="1">
        <v>4281209</v>
      </c>
      <c r="C657" s="35" t="s">
        <v>6400</v>
      </c>
      <c r="D657" s="29" t="s">
        <v>3237</v>
      </c>
      <c r="E657" s="1" t="s">
        <v>3238</v>
      </c>
      <c r="F657" s="1" t="s">
        <v>3239</v>
      </c>
      <c r="G657" s="4" t="s">
        <v>5636</v>
      </c>
      <c r="H657" s="4" t="s">
        <v>5720</v>
      </c>
      <c r="I657" s="4" t="s">
        <v>5701</v>
      </c>
      <c r="J657" s="2">
        <v>34803</v>
      </c>
      <c r="K657" s="1" t="s">
        <v>19</v>
      </c>
      <c r="L657" s="1" t="s">
        <v>20</v>
      </c>
      <c r="M657" s="1" t="s">
        <v>3240</v>
      </c>
      <c r="N657" s="1" t="s">
        <v>3241</v>
      </c>
      <c r="O657" s="1" t="s">
        <v>23</v>
      </c>
      <c r="P657" s="1" t="s">
        <v>3242</v>
      </c>
      <c r="Q657" s="1">
        <f>31-627444982</f>
        <v>-627444951</v>
      </c>
      <c r="R657" s="1">
        <v>2013</v>
      </c>
    </row>
    <row r="658" spans="1:19" ht="15" customHeight="1" x14ac:dyDescent="0.25">
      <c r="A658" s="4" t="s">
        <v>15</v>
      </c>
      <c r="B658" s="1">
        <v>4304500</v>
      </c>
      <c r="C658" s="35" t="s">
        <v>6401</v>
      </c>
      <c r="D658" s="29" t="s">
        <v>2880</v>
      </c>
      <c r="E658" s="1" t="s">
        <v>4221</v>
      </c>
      <c r="F658" s="1" t="s">
        <v>585</v>
      </c>
      <c r="G658" s="4" t="s">
        <v>5636</v>
      </c>
      <c r="H658" s="4" t="s">
        <v>5720</v>
      </c>
      <c r="I658" s="4" t="s">
        <v>5701</v>
      </c>
      <c r="J658" s="2">
        <v>34223</v>
      </c>
      <c r="K658" s="1" t="s">
        <v>19</v>
      </c>
      <c r="L658" s="1" t="s">
        <v>20</v>
      </c>
      <c r="M658" s="1" t="s">
        <v>4222</v>
      </c>
      <c r="N658" s="1" t="s">
        <v>4223</v>
      </c>
      <c r="O658" s="1" t="s">
        <v>23</v>
      </c>
      <c r="P658" s="1" t="s">
        <v>4224</v>
      </c>
      <c r="Q658" s="1">
        <f>31-624249685</f>
        <v>-624249654</v>
      </c>
      <c r="R658" s="1">
        <v>2013</v>
      </c>
    </row>
    <row r="659" spans="1:19" ht="15" customHeight="1" x14ac:dyDescent="0.25">
      <c r="A659" s="4" t="s">
        <v>15</v>
      </c>
      <c r="B659" s="1">
        <v>4309685</v>
      </c>
      <c r="C659" s="35" t="s">
        <v>6402</v>
      </c>
      <c r="D659" s="29" t="s">
        <v>3243</v>
      </c>
      <c r="E659" s="1" t="s">
        <v>3244</v>
      </c>
      <c r="F659" s="1" t="s">
        <v>856</v>
      </c>
      <c r="G659" s="4" t="s">
        <v>5636</v>
      </c>
      <c r="H659" s="4" t="s">
        <v>5720</v>
      </c>
      <c r="I659" s="4" t="s">
        <v>5701</v>
      </c>
      <c r="J659" s="2">
        <v>34278</v>
      </c>
      <c r="K659" s="1" t="s">
        <v>19</v>
      </c>
      <c r="L659" s="1" t="s">
        <v>20</v>
      </c>
      <c r="M659" s="1" t="s">
        <v>3245</v>
      </c>
      <c r="N659" s="1" t="s">
        <v>3246</v>
      </c>
      <c r="O659" s="1" t="s">
        <v>23</v>
      </c>
      <c r="P659" s="1" t="s">
        <v>3247</v>
      </c>
      <c r="Q659" s="1">
        <f>31-623422176</f>
        <v>-623422145</v>
      </c>
      <c r="R659" s="1">
        <v>2013</v>
      </c>
    </row>
    <row r="660" spans="1:19" ht="15" customHeight="1" x14ac:dyDescent="0.25">
      <c r="A660" s="4" t="s">
        <v>15</v>
      </c>
      <c r="B660" s="1">
        <v>4298276</v>
      </c>
      <c r="C660" s="35" t="s">
        <v>6403</v>
      </c>
      <c r="D660" s="29" t="s">
        <v>3270</v>
      </c>
      <c r="E660" s="1" t="s">
        <v>3271</v>
      </c>
      <c r="F660" s="1" t="s">
        <v>3272</v>
      </c>
      <c r="G660" s="4" t="s">
        <v>5636</v>
      </c>
      <c r="H660" s="4" t="s">
        <v>5720</v>
      </c>
      <c r="I660" s="4" t="s">
        <v>5701</v>
      </c>
      <c r="J660" s="2">
        <v>34789</v>
      </c>
      <c r="K660" s="1" t="s">
        <v>19</v>
      </c>
      <c r="L660" s="1" t="s">
        <v>111</v>
      </c>
      <c r="M660" s="1" t="s">
        <v>3273</v>
      </c>
      <c r="N660" s="1" t="s">
        <v>3274</v>
      </c>
      <c r="O660" s="1" t="s">
        <v>23</v>
      </c>
      <c r="P660" s="1" t="s">
        <v>3275</v>
      </c>
      <c r="Q660" s="1">
        <f>31-611970763</f>
        <v>-611970732</v>
      </c>
      <c r="R660" s="1">
        <v>2013</v>
      </c>
    </row>
    <row r="661" spans="1:19" ht="15" customHeight="1" x14ac:dyDescent="0.25">
      <c r="A661" s="4" t="s">
        <v>15</v>
      </c>
      <c r="B661" s="1">
        <v>4289250</v>
      </c>
      <c r="C661" s="35" t="s">
        <v>6404</v>
      </c>
      <c r="D661" s="29" t="s">
        <v>3248</v>
      </c>
      <c r="E661" s="1" t="s">
        <v>3249</v>
      </c>
      <c r="F661" s="1" t="s">
        <v>408</v>
      </c>
      <c r="G661" s="4" t="s">
        <v>5636</v>
      </c>
      <c r="H661" s="4" t="s">
        <v>5720</v>
      </c>
      <c r="I661" s="4" t="s">
        <v>5701</v>
      </c>
      <c r="J661" s="2">
        <v>34862</v>
      </c>
      <c r="K661" s="1" t="s">
        <v>19</v>
      </c>
      <c r="L661" s="1" t="s">
        <v>20</v>
      </c>
      <c r="M661" s="1" t="s">
        <v>3250</v>
      </c>
      <c r="N661" s="1" t="s">
        <v>3251</v>
      </c>
      <c r="O661" s="1" t="s">
        <v>23</v>
      </c>
      <c r="P661" s="1" t="s">
        <v>3252</v>
      </c>
      <c r="Q661" s="1">
        <f>31-614822627</f>
        <v>-614822596</v>
      </c>
      <c r="R661" s="1">
        <v>2013</v>
      </c>
    </row>
    <row r="662" spans="1:19" ht="15" customHeight="1" x14ac:dyDescent="0.25">
      <c r="A662" s="4" t="s">
        <v>15</v>
      </c>
      <c r="B662" s="1">
        <v>4299906</v>
      </c>
      <c r="C662" s="35" t="s">
        <v>6405</v>
      </c>
      <c r="D662" s="29" t="s">
        <v>3253</v>
      </c>
      <c r="E662" s="1" t="s">
        <v>3254</v>
      </c>
      <c r="F662" s="1" t="s">
        <v>3255</v>
      </c>
      <c r="G662" s="4" t="s">
        <v>5636</v>
      </c>
      <c r="H662" s="4" t="s">
        <v>5720</v>
      </c>
      <c r="I662" s="4" t="s">
        <v>5701</v>
      </c>
      <c r="J662" s="2">
        <v>34939</v>
      </c>
      <c r="K662" s="1" t="s">
        <v>19</v>
      </c>
      <c r="L662" s="1" t="s">
        <v>20</v>
      </c>
      <c r="M662" s="1" t="s">
        <v>3256</v>
      </c>
      <c r="N662" s="1" t="s">
        <v>3257</v>
      </c>
      <c r="O662" s="1" t="s">
        <v>23</v>
      </c>
      <c r="P662" s="1" t="s">
        <v>3258</v>
      </c>
      <c r="Q662" s="1">
        <f>31-611992619</f>
        <v>-611992588</v>
      </c>
      <c r="R662" s="1">
        <v>2013</v>
      </c>
    </row>
    <row r="663" spans="1:19" ht="15" customHeight="1" x14ac:dyDescent="0.25">
      <c r="A663" s="4" t="s">
        <v>15</v>
      </c>
      <c r="B663" s="1">
        <v>4323645</v>
      </c>
      <c r="C663" s="35" t="s">
        <v>6406</v>
      </c>
      <c r="D663" s="29" t="s">
        <v>3259</v>
      </c>
      <c r="E663" s="1" t="s">
        <v>3260</v>
      </c>
      <c r="F663" s="1" t="s">
        <v>3261</v>
      </c>
      <c r="G663" s="4" t="s">
        <v>5636</v>
      </c>
      <c r="H663" s="4" t="s">
        <v>5720</v>
      </c>
      <c r="I663" s="4" t="s">
        <v>5701</v>
      </c>
      <c r="J663" s="2">
        <v>34645</v>
      </c>
      <c r="K663" s="1" t="s">
        <v>19</v>
      </c>
      <c r="L663" s="1" t="s">
        <v>20</v>
      </c>
      <c r="M663" s="1" t="s">
        <v>3262</v>
      </c>
      <c r="N663" s="1" t="s">
        <v>3263</v>
      </c>
      <c r="O663" s="1" t="s">
        <v>23</v>
      </c>
      <c r="P663" s="1" t="s">
        <v>3264</v>
      </c>
      <c r="Q663" s="1">
        <f>31-681330017</f>
        <v>-681329986</v>
      </c>
      <c r="R663" s="1">
        <v>2013</v>
      </c>
    </row>
    <row r="664" spans="1:19" ht="15" customHeight="1" x14ac:dyDescent="0.25">
      <c r="A664" s="4" t="s">
        <v>15</v>
      </c>
      <c r="B664" s="1">
        <v>4310349</v>
      </c>
      <c r="C664" s="35" t="s">
        <v>6407</v>
      </c>
      <c r="D664" s="29" t="s">
        <v>3265</v>
      </c>
      <c r="E664" s="1" t="s">
        <v>3266</v>
      </c>
      <c r="F664" s="1" t="s">
        <v>1538</v>
      </c>
      <c r="G664" s="4" t="s">
        <v>5636</v>
      </c>
      <c r="H664" s="4" t="s">
        <v>5720</v>
      </c>
      <c r="I664" s="4" t="s">
        <v>5701</v>
      </c>
      <c r="J664" s="2">
        <v>34945</v>
      </c>
      <c r="K664" s="1" t="s">
        <v>19</v>
      </c>
      <c r="L664" s="1" t="s">
        <v>20</v>
      </c>
      <c r="M664" s="1" t="s">
        <v>3267</v>
      </c>
      <c r="N664" s="1" t="s">
        <v>3268</v>
      </c>
      <c r="O664" s="1" t="s">
        <v>23</v>
      </c>
      <c r="P664" s="1" t="s">
        <v>3269</v>
      </c>
      <c r="Q664" s="1">
        <f>31-654354755</f>
        <v>-654354724</v>
      </c>
      <c r="R664" s="1">
        <v>2013</v>
      </c>
    </row>
    <row r="665" spans="1:19" ht="15" customHeight="1" x14ac:dyDescent="0.25">
      <c r="A665" s="4" t="s">
        <v>15</v>
      </c>
      <c r="B665" s="1">
        <v>4214781</v>
      </c>
      <c r="C665" s="35" t="s">
        <v>6408</v>
      </c>
      <c r="D665" s="29" t="s">
        <v>3306</v>
      </c>
      <c r="E665" s="1" t="s">
        <v>3307</v>
      </c>
      <c r="F665" s="1" t="s">
        <v>3308</v>
      </c>
      <c r="G665" s="4" t="s">
        <v>5637</v>
      </c>
      <c r="H665" s="4" t="s">
        <v>5721</v>
      </c>
      <c r="I665" s="4" t="s">
        <v>5702</v>
      </c>
      <c r="J665" s="2">
        <v>34274</v>
      </c>
      <c r="K665" s="1" t="s">
        <v>19</v>
      </c>
      <c r="L665" s="1" t="s">
        <v>111</v>
      </c>
      <c r="M665" s="1" t="s">
        <v>3309</v>
      </c>
      <c r="N665" s="1" t="s">
        <v>3310</v>
      </c>
      <c r="O665" s="1" t="s">
        <v>23</v>
      </c>
      <c r="P665" s="1" t="s">
        <v>3311</v>
      </c>
      <c r="Q665" s="1">
        <f>31-625490794</f>
        <v>-625490763</v>
      </c>
      <c r="R665" s="1">
        <v>2012</v>
      </c>
      <c r="S665" s="1" t="s">
        <v>88</v>
      </c>
    </row>
    <row r="666" spans="1:19" ht="15" customHeight="1" x14ac:dyDescent="0.25">
      <c r="A666" s="4" t="s">
        <v>15</v>
      </c>
      <c r="B666" s="1">
        <v>4291743</v>
      </c>
      <c r="C666" s="35" t="s">
        <v>6409</v>
      </c>
      <c r="D666" s="29" t="s">
        <v>3276</v>
      </c>
      <c r="E666" s="1" t="s">
        <v>3277</v>
      </c>
      <c r="F666" s="1" t="s">
        <v>2340</v>
      </c>
      <c r="G666" s="4" t="s">
        <v>5637</v>
      </c>
      <c r="H666" s="4" t="s">
        <v>5721</v>
      </c>
      <c r="I666" s="4" t="s">
        <v>5702</v>
      </c>
      <c r="J666" s="2">
        <v>34939</v>
      </c>
      <c r="K666" s="1" t="s">
        <v>19</v>
      </c>
      <c r="L666" s="1" t="s">
        <v>20</v>
      </c>
      <c r="M666" s="1" t="s">
        <v>3278</v>
      </c>
      <c r="N666" s="1" t="s">
        <v>3279</v>
      </c>
      <c r="O666" s="1" t="s">
        <v>23</v>
      </c>
      <c r="P666" s="1" t="s">
        <v>3280</v>
      </c>
      <c r="Q666" s="1">
        <f>31-612263021</f>
        <v>-612262990</v>
      </c>
      <c r="R666" s="1">
        <v>2013</v>
      </c>
    </row>
    <row r="667" spans="1:19" ht="15" customHeight="1" x14ac:dyDescent="0.25">
      <c r="A667" s="4" t="s">
        <v>15</v>
      </c>
      <c r="B667" s="1">
        <v>4291638</v>
      </c>
      <c r="C667" s="35" t="s">
        <v>6410</v>
      </c>
      <c r="D667" s="29" t="s">
        <v>3281</v>
      </c>
      <c r="E667" s="1" t="s">
        <v>3282</v>
      </c>
      <c r="F667" s="1" t="s">
        <v>637</v>
      </c>
      <c r="G667" s="4" t="s">
        <v>5637</v>
      </c>
      <c r="H667" s="4" t="s">
        <v>5721</v>
      </c>
      <c r="I667" s="4" t="s">
        <v>5702</v>
      </c>
      <c r="J667" s="2">
        <v>34863</v>
      </c>
      <c r="K667" s="1" t="s">
        <v>19</v>
      </c>
      <c r="L667" s="1" t="s">
        <v>20</v>
      </c>
      <c r="M667" s="1" t="s">
        <v>3283</v>
      </c>
      <c r="N667" s="1" t="s">
        <v>3284</v>
      </c>
      <c r="O667" s="1" t="s">
        <v>23</v>
      </c>
      <c r="P667" s="1" t="s">
        <v>3285</v>
      </c>
      <c r="Q667" s="1">
        <f>31-683546703</f>
        <v>-683546672</v>
      </c>
      <c r="R667" s="1">
        <v>2013</v>
      </c>
    </row>
    <row r="668" spans="1:19" ht="15" customHeight="1" x14ac:dyDescent="0.25">
      <c r="A668" s="4" t="s">
        <v>15</v>
      </c>
      <c r="B668" s="1">
        <v>4304020</v>
      </c>
      <c r="C668" s="35" t="s">
        <v>6411</v>
      </c>
      <c r="D668" s="29" t="s">
        <v>3286</v>
      </c>
      <c r="E668" s="1" t="s">
        <v>3287</v>
      </c>
      <c r="F668" s="1" t="s">
        <v>585</v>
      </c>
      <c r="G668" s="4" t="s">
        <v>5637</v>
      </c>
      <c r="H668" s="4" t="s">
        <v>5721</v>
      </c>
      <c r="I668" s="4" t="s">
        <v>5702</v>
      </c>
      <c r="J668" s="2">
        <v>34969</v>
      </c>
      <c r="K668" s="1" t="s">
        <v>19</v>
      </c>
      <c r="L668" s="1" t="s">
        <v>20</v>
      </c>
      <c r="M668" s="1" t="s">
        <v>3288</v>
      </c>
      <c r="N668" s="1" t="s">
        <v>3289</v>
      </c>
      <c r="O668" s="1" t="s">
        <v>23</v>
      </c>
      <c r="P668" s="1" t="s">
        <v>3290</v>
      </c>
      <c r="R668" s="1">
        <v>2013</v>
      </c>
    </row>
    <row r="669" spans="1:19" ht="15" customHeight="1" x14ac:dyDescent="0.25">
      <c r="A669" s="4" t="s">
        <v>15</v>
      </c>
      <c r="B669" s="1">
        <v>4312120</v>
      </c>
      <c r="C669" s="35" t="s">
        <v>6412</v>
      </c>
      <c r="D669" s="29" t="s">
        <v>3291</v>
      </c>
      <c r="E669" s="1" t="s">
        <v>3292</v>
      </c>
      <c r="F669" s="1" t="s">
        <v>384</v>
      </c>
      <c r="G669" s="4" t="s">
        <v>5637</v>
      </c>
      <c r="H669" s="4" t="s">
        <v>5721</v>
      </c>
      <c r="I669" s="4" t="s">
        <v>5702</v>
      </c>
      <c r="J669" s="2">
        <v>34827</v>
      </c>
      <c r="K669" s="1" t="s">
        <v>19</v>
      </c>
      <c r="L669" s="1" t="s">
        <v>20</v>
      </c>
      <c r="M669" s="1" t="s">
        <v>3293</v>
      </c>
      <c r="N669" s="1" t="s">
        <v>3294</v>
      </c>
      <c r="O669" s="1" t="s">
        <v>23</v>
      </c>
      <c r="P669" s="1" t="s">
        <v>3295</v>
      </c>
      <c r="Q669" s="1">
        <f>31-634983543</f>
        <v>-634983512</v>
      </c>
      <c r="R669" s="1">
        <v>2013</v>
      </c>
    </row>
    <row r="670" spans="1:19" ht="15" customHeight="1" x14ac:dyDescent="0.25">
      <c r="A670" s="4" t="s">
        <v>15</v>
      </c>
      <c r="B670" s="1">
        <v>4303962</v>
      </c>
      <c r="C670" s="35" t="s">
        <v>6413</v>
      </c>
      <c r="D670" s="29" t="s">
        <v>1172</v>
      </c>
      <c r="E670" s="1" t="s">
        <v>3296</v>
      </c>
      <c r="F670" s="1" t="s">
        <v>3297</v>
      </c>
      <c r="G670" s="4" t="s">
        <v>5637</v>
      </c>
      <c r="H670" s="4" t="s">
        <v>5721</v>
      </c>
      <c r="I670" s="4" t="s">
        <v>5702</v>
      </c>
      <c r="J670" s="2">
        <v>34553</v>
      </c>
      <c r="K670" s="1" t="s">
        <v>19</v>
      </c>
      <c r="L670" s="1" t="s">
        <v>20</v>
      </c>
      <c r="M670" s="1" t="s">
        <v>3298</v>
      </c>
      <c r="N670" s="1" t="s">
        <v>3299</v>
      </c>
      <c r="O670" s="1" t="s">
        <v>23</v>
      </c>
      <c r="P670" s="1" t="s">
        <v>3300</v>
      </c>
      <c r="Q670" s="1">
        <f>31-623487665</f>
        <v>-623487634</v>
      </c>
      <c r="R670" s="1">
        <v>2013</v>
      </c>
    </row>
    <row r="671" spans="1:19" ht="15" customHeight="1" x14ac:dyDescent="0.25">
      <c r="A671" s="4" t="s">
        <v>15</v>
      </c>
      <c r="B671" s="1">
        <v>4307453</v>
      </c>
      <c r="C671" s="35" t="s">
        <v>6414</v>
      </c>
      <c r="D671" s="29" t="s">
        <v>3301</v>
      </c>
      <c r="E671" s="1" t="s">
        <v>3302</v>
      </c>
      <c r="F671" s="1" t="s">
        <v>130</v>
      </c>
      <c r="G671" s="4" t="s">
        <v>5637</v>
      </c>
      <c r="H671" s="4" t="s">
        <v>5721</v>
      </c>
      <c r="I671" s="4" t="s">
        <v>5702</v>
      </c>
      <c r="J671" s="2">
        <v>34662</v>
      </c>
      <c r="K671" s="1" t="s">
        <v>19</v>
      </c>
      <c r="L671" s="1" t="s">
        <v>20</v>
      </c>
      <c r="M671" s="1" t="s">
        <v>3303</v>
      </c>
      <c r="N671" s="1" t="s">
        <v>3304</v>
      </c>
      <c r="O671" s="1" t="s">
        <v>23</v>
      </c>
      <c r="P671" s="1" t="s">
        <v>3305</v>
      </c>
      <c r="Q671" s="1">
        <f>31-639207026</f>
        <v>-639206995</v>
      </c>
      <c r="R671" s="1">
        <v>2013</v>
      </c>
    </row>
    <row r="672" spans="1:19" ht="15" customHeight="1" x14ac:dyDescent="0.25">
      <c r="A672" s="4" t="s">
        <v>15</v>
      </c>
      <c r="B672" s="1">
        <v>4194306</v>
      </c>
      <c r="C672" s="35" t="s">
        <v>6415</v>
      </c>
      <c r="D672" s="29" t="s">
        <v>5658</v>
      </c>
      <c r="E672" s="1" t="s">
        <v>5659</v>
      </c>
      <c r="F672" s="1" t="s">
        <v>1857</v>
      </c>
      <c r="G672" s="4" t="s">
        <v>5637</v>
      </c>
      <c r="H672" s="4" t="s">
        <v>5721</v>
      </c>
      <c r="I672" s="4" t="s">
        <v>5702</v>
      </c>
      <c r="J672" s="2">
        <v>33059</v>
      </c>
      <c r="K672" s="1" t="s">
        <v>19</v>
      </c>
      <c r="L672" s="1" t="s">
        <v>20</v>
      </c>
      <c r="R672" s="1">
        <v>2013</v>
      </c>
    </row>
    <row r="673" spans="1:19" ht="15" customHeight="1" x14ac:dyDescent="0.25">
      <c r="A673" s="4" t="s">
        <v>15</v>
      </c>
      <c r="B673" s="1">
        <v>4286545</v>
      </c>
      <c r="C673" s="35" t="s">
        <v>6416</v>
      </c>
      <c r="D673" s="29" t="s">
        <v>2918</v>
      </c>
      <c r="E673" s="1" t="s">
        <v>3312</v>
      </c>
      <c r="F673" s="1" t="s">
        <v>242</v>
      </c>
      <c r="G673" s="4" t="s">
        <v>5638</v>
      </c>
      <c r="H673" s="4" t="s">
        <v>5721</v>
      </c>
      <c r="I673" s="4" t="s">
        <v>5702</v>
      </c>
      <c r="J673" s="2">
        <v>34385</v>
      </c>
      <c r="K673" s="1" t="s">
        <v>19</v>
      </c>
      <c r="L673" s="1" t="s">
        <v>20</v>
      </c>
      <c r="M673" s="1" t="s">
        <v>3313</v>
      </c>
      <c r="N673" s="1" t="s">
        <v>3314</v>
      </c>
      <c r="O673" s="1" t="s">
        <v>23</v>
      </c>
      <c r="P673" s="1" t="s">
        <v>3315</v>
      </c>
      <c r="Q673" s="1">
        <f>31-625036853</f>
        <v>-625036822</v>
      </c>
      <c r="R673" s="1">
        <v>2013</v>
      </c>
    </row>
    <row r="674" spans="1:19" ht="15" customHeight="1" x14ac:dyDescent="0.25">
      <c r="A674" s="4" t="s">
        <v>15</v>
      </c>
      <c r="B674" s="1">
        <v>4333039</v>
      </c>
      <c r="C674" s="35" t="s">
        <v>6417</v>
      </c>
      <c r="D674" s="29" t="s">
        <v>3316</v>
      </c>
      <c r="E674" s="1" t="s">
        <v>3317</v>
      </c>
      <c r="F674" s="1" t="s">
        <v>3318</v>
      </c>
      <c r="G674" s="4" t="s">
        <v>5638</v>
      </c>
      <c r="H674" s="4" t="s">
        <v>5721</v>
      </c>
      <c r="I674" s="4" t="s">
        <v>5702</v>
      </c>
      <c r="J674" s="2">
        <v>34622</v>
      </c>
      <c r="K674" s="1" t="s">
        <v>19</v>
      </c>
      <c r="L674" s="1" t="s">
        <v>20</v>
      </c>
      <c r="M674" s="1" t="s">
        <v>3319</v>
      </c>
      <c r="N674" s="1" t="s">
        <v>3320</v>
      </c>
      <c r="O674" s="1" t="s">
        <v>23</v>
      </c>
      <c r="P674" s="1" t="s">
        <v>3321</v>
      </c>
      <c r="Q674" s="1">
        <f>31-650247159</f>
        <v>-650247128</v>
      </c>
      <c r="R674" s="1">
        <v>2013</v>
      </c>
    </row>
    <row r="675" spans="1:19" ht="15" customHeight="1" x14ac:dyDescent="0.25">
      <c r="A675" s="4" t="s">
        <v>15</v>
      </c>
      <c r="B675" s="1">
        <v>4148924</v>
      </c>
      <c r="C675" s="35" t="s">
        <v>6418</v>
      </c>
      <c r="D675" s="29" t="s">
        <v>3322</v>
      </c>
      <c r="E675" s="1" t="s">
        <v>3323</v>
      </c>
      <c r="F675" s="1" t="s">
        <v>3324</v>
      </c>
      <c r="G675" s="4" t="s">
        <v>5638</v>
      </c>
      <c r="H675" s="4" t="s">
        <v>5721</v>
      </c>
      <c r="I675" s="4" t="s">
        <v>5702</v>
      </c>
      <c r="J675" s="2">
        <v>33918</v>
      </c>
      <c r="K675" s="1" t="s">
        <v>19</v>
      </c>
      <c r="L675" s="1" t="s">
        <v>20</v>
      </c>
      <c r="M675" s="1" t="s">
        <v>3325</v>
      </c>
      <c r="N675" s="1" t="s">
        <v>3326</v>
      </c>
      <c r="O675" s="1" t="s">
        <v>23</v>
      </c>
      <c r="P675" s="1" t="s">
        <v>3327</v>
      </c>
      <c r="Q675" s="1">
        <f>31-623366261</f>
        <v>-623366230</v>
      </c>
      <c r="R675" s="1">
        <v>2012</v>
      </c>
      <c r="S675" s="1" t="s">
        <v>5236</v>
      </c>
    </row>
    <row r="676" spans="1:19" ht="15" customHeight="1" x14ac:dyDescent="0.25">
      <c r="A676" s="4" t="s">
        <v>15</v>
      </c>
      <c r="B676" s="1">
        <v>4208404</v>
      </c>
      <c r="C676" s="35" t="s">
        <v>6419</v>
      </c>
      <c r="D676" s="29" t="s">
        <v>3328</v>
      </c>
      <c r="E676" s="1" t="s">
        <v>3329</v>
      </c>
      <c r="F676" s="1" t="s">
        <v>48</v>
      </c>
      <c r="G676" s="4" t="s">
        <v>5638</v>
      </c>
      <c r="H676" s="4" t="s">
        <v>5721</v>
      </c>
      <c r="I676" s="4" t="s">
        <v>5702</v>
      </c>
      <c r="J676" s="2">
        <v>34267</v>
      </c>
      <c r="K676" s="1" t="s">
        <v>19</v>
      </c>
      <c r="L676" s="1" t="s">
        <v>20</v>
      </c>
      <c r="M676" s="1" t="s">
        <v>3330</v>
      </c>
      <c r="N676" s="1" t="s">
        <v>3331</v>
      </c>
      <c r="O676" s="1" t="s">
        <v>23</v>
      </c>
      <c r="P676" s="1" t="s">
        <v>3332</v>
      </c>
      <c r="Q676" s="1">
        <f>31-640973255</f>
        <v>-640973224</v>
      </c>
      <c r="R676" s="1">
        <v>2012</v>
      </c>
      <c r="S676" s="1" t="s">
        <v>88</v>
      </c>
    </row>
    <row r="677" spans="1:19" ht="15" customHeight="1" x14ac:dyDescent="0.25">
      <c r="A677" s="4" t="s">
        <v>15</v>
      </c>
      <c r="B677" s="1">
        <v>4303849</v>
      </c>
      <c r="C677" s="35" t="s">
        <v>6420</v>
      </c>
      <c r="D677" s="29" t="s">
        <v>3333</v>
      </c>
      <c r="E677" s="1" t="s">
        <v>3334</v>
      </c>
      <c r="F677" s="1" t="s">
        <v>805</v>
      </c>
      <c r="G677" s="4" t="s">
        <v>5638</v>
      </c>
      <c r="H677" s="33" t="s">
        <v>5721</v>
      </c>
      <c r="I677" s="33" t="s">
        <v>5702</v>
      </c>
      <c r="J677" s="2">
        <v>34654</v>
      </c>
      <c r="K677" s="1" t="s">
        <v>19</v>
      </c>
      <c r="L677" s="1" t="s">
        <v>20</v>
      </c>
      <c r="M677" s="1" t="s">
        <v>3335</v>
      </c>
      <c r="N677" s="1" t="s">
        <v>3336</v>
      </c>
      <c r="O677" s="1" t="s">
        <v>23</v>
      </c>
      <c r="P677" s="1" t="s">
        <v>3337</v>
      </c>
      <c r="Q677" s="1">
        <f>31-612882290</f>
        <v>-612882259</v>
      </c>
      <c r="R677" s="1">
        <v>2013</v>
      </c>
    </row>
    <row r="678" spans="1:19" ht="15" customHeight="1" x14ac:dyDescent="0.25">
      <c r="A678" s="4" t="s">
        <v>15</v>
      </c>
      <c r="B678" s="1">
        <v>4299469</v>
      </c>
      <c r="C678" s="35" t="s">
        <v>6421</v>
      </c>
      <c r="D678" s="29" t="s">
        <v>1874</v>
      </c>
      <c r="E678" s="1" t="s">
        <v>3338</v>
      </c>
      <c r="F678" s="1" t="s">
        <v>3339</v>
      </c>
      <c r="G678" s="4" t="s">
        <v>5638</v>
      </c>
      <c r="H678" s="4" t="s">
        <v>5721</v>
      </c>
      <c r="I678" s="4" t="s">
        <v>5702</v>
      </c>
      <c r="J678" s="2">
        <v>34732</v>
      </c>
      <c r="K678" s="1" t="s">
        <v>19</v>
      </c>
      <c r="L678" s="1" t="s">
        <v>20</v>
      </c>
      <c r="M678" s="1" t="s">
        <v>3340</v>
      </c>
      <c r="N678" s="1" t="s">
        <v>3341</v>
      </c>
      <c r="O678" s="1" t="s">
        <v>23</v>
      </c>
      <c r="P678" s="1" t="s">
        <v>3342</v>
      </c>
      <c r="R678" s="1">
        <v>2013</v>
      </c>
    </row>
    <row r="679" spans="1:19" ht="15" customHeight="1" x14ac:dyDescent="0.25">
      <c r="A679" s="4" t="s">
        <v>15</v>
      </c>
      <c r="B679" s="1">
        <v>1527193</v>
      </c>
      <c r="C679" s="35" t="s">
        <v>6422</v>
      </c>
      <c r="D679" s="1" t="s">
        <v>5747</v>
      </c>
      <c r="E679" s="1" t="s">
        <v>5748</v>
      </c>
      <c r="F679" s="1" t="s">
        <v>834</v>
      </c>
      <c r="G679" s="4" t="s">
        <v>5638</v>
      </c>
      <c r="H679" s="4" t="s">
        <v>5721</v>
      </c>
      <c r="I679" s="4" t="s">
        <v>5702</v>
      </c>
      <c r="J679" s="2">
        <v>32084</v>
      </c>
      <c r="K679" s="1" t="s">
        <v>19</v>
      </c>
      <c r="L679" s="1" t="s">
        <v>20</v>
      </c>
      <c r="Q679" s="9" t="s">
        <v>5749</v>
      </c>
      <c r="R679" s="1">
        <v>2008</v>
      </c>
      <c r="S679" s="1" t="s">
        <v>5249</v>
      </c>
    </row>
    <row r="680" spans="1:19" ht="15" customHeight="1" x14ac:dyDescent="0.25">
      <c r="A680" s="4" t="s">
        <v>15</v>
      </c>
      <c r="B680" s="1">
        <v>4320891</v>
      </c>
      <c r="C680" s="35" t="s">
        <v>6423</v>
      </c>
      <c r="D680" s="29" t="s">
        <v>3343</v>
      </c>
      <c r="E680" s="1" t="s">
        <v>3344</v>
      </c>
      <c r="F680" s="1" t="s">
        <v>1310</v>
      </c>
      <c r="G680" s="4" t="s">
        <v>5638</v>
      </c>
      <c r="H680" s="4" t="s">
        <v>5721</v>
      </c>
      <c r="I680" s="4" t="s">
        <v>5702</v>
      </c>
      <c r="J680" s="2">
        <v>34540</v>
      </c>
      <c r="K680" s="1" t="s">
        <v>19</v>
      </c>
      <c r="L680" s="1" t="s">
        <v>20</v>
      </c>
      <c r="M680" s="1" t="s">
        <v>3345</v>
      </c>
      <c r="N680" s="1" t="s">
        <v>3346</v>
      </c>
      <c r="O680" s="1" t="s">
        <v>23</v>
      </c>
      <c r="P680" s="1" t="s">
        <v>3347</v>
      </c>
      <c r="R680" s="1">
        <v>2013</v>
      </c>
    </row>
    <row r="681" spans="1:19" ht="15" customHeight="1" x14ac:dyDescent="0.25">
      <c r="A681" s="4" t="s">
        <v>15</v>
      </c>
      <c r="B681" s="1">
        <v>4298764</v>
      </c>
      <c r="C681" s="35" t="s">
        <v>6424</v>
      </c>
      <c r="D681" s="29" t="s">
        <v>3380</v>
      </c>
      <c r="E681" s="1" t="s">
        <v>3381</v>
      </c>
      <c r="F681" s="1" t="s">
        <v>3382</v>
      </c>
      <c r="G681" s="4" t="s">
        <v>5639</v>
      </c>
      <c r="H681" s="4" t="s">
        <v>5721</v>
      </c>
      <c r="I681" s="4" t="s">
        <v>5703</v>
      </c>
      <c r="J681" s="2">
        <v>34933</v>
      </c>
      <c r="K681" s="1" t="s">
        <v>19</v>
      </c>
      <c r="L681" s="1" t="s">
        <v>111</v>
      </c>
      <c r="M681" s="1" t="s">
        <v>3383</v>
      </c>
      <c r="N681" s="1" t="s">
        <v>3384</v>
      </c>
      <c r="O681" s="1" t="s">
        <v>23</v>
      </c>
      <c r="P681" s="1" t="s">
        <v>3385</v>
      </c>
      <c r="Q681" s="1">
        <f>31-651768840</f>
        <v>-651768809</v>
      </c>
      <c r="R681" s="1">
        <v>2013</v>
      </c>
    </row>
    <row r="682" spans="1:19" ht="15" customHeight="1" x14ac:dyDescent="0.25">
      <c r="A682" s="4" t="s">
        <v>15</v>
      </c>
      <c r="B682" s="1">
        <v>4276493</v>
      </c>
      <c r="C682" s="35" t="s">
        <v>6425</v>
      </c>
      <c r="D682" s="29" t="s">
        <v>3348</v>
      </c>
      <c r="E682" s="1" t="s">
        <v>3349</v>
      </c>
      <c r="F682" s="1" t="s">
        <v>3350</v>
      </c>
      <c r="G682" s="4" t="s">
        <v>5639</v>
      </c>
      <c r="H682" s="4" t="s">
        <v>5721</v>
      </c>
      <c r="I682" s="4" t="s">
        <v>5703</v>
      </c>
      <c r="J682" s="2">
        <v>34674</v>
      </c>
      <c r="K682" s="1" t="s">
        <v>19</v>
      </c>
      <c r="L682" s="1" t="s">
        <v>20</v>
      </c>
      <c r="M682" s="1" t="s">
        <v>3351</v>
      </c>
      <c r="N682" s="1" t="s">
        <v>3352</v>
      </c>
      <c r="O682" s="1" t="s">
        <v>669</v>
      </c>
      <c r="P682" s="1" t="s">
        <v>3353</v>
      </c>
      <c r="Q682" s="1">
        <f>599-96940286</f>
        <v>-96939687</v>
      </c>
      <c r="R682" s="1">
        <v>2013</v>
      </c>
    </row>
    <row r="683" spans="1:19" ht="15" customHeight="1" x14ac:dyDescent="0.25">
      <c r="A683" s="4" t="s">
        <v>15</v>
      </c>
      <c r="B683" s="1">
        <v>4315677</v>
      </c>
      <c r="C683" s="35" t="s">
        <v>6426</v>
      </c>
      <c r="D683" s="29" t="s">
        <v>3354</v>
      </c>
      <c r="E683" s="1" t="s">
        <v>3355</v>
      </c>
      <c r="F683" s="1" t="s">
        <v>3356</v>
      </c>
      <c r="G683" s="4" t="s">
        <v>5639</v>
      </c>
      <c r="H683" s="4" t="s">
        <v>5721</v>
      </c>
      <c r="I683" s="4" t="s">
        <v>5703</v>
      </c>
      <c r="J683" s="2">
        <v>34870</v>
      </c>
      <c r="K683" s="1" t="s">
        <v>19</v>
      </c>
      <c r="L683" s="1" t="s">
        <v>20</v>
      </c>
      <c r="M683" s="1" t="s">
        <v>3357</v>
      </c>
      <c r="N683" s="1" t="s">
        <v>3358</v>
      </c>
      <c r="O683" s="1" t="s">
        <v>23</v>
      </c>
      <c r="P683" s="1" t="s">
        <v>3359</v>
      </c>
      <c r="Q683" s="1">
        <f>31-657377518</f>
        <v>-657377487</v>
      </c>
      <c r="R683" s="1">
        <v>2013</v>
      </c>
    </row>
    <row r="684" spans="1:19" ht="15" customHeight="1" x14ac:dyDescent="0.25">
      <c r="A684" s="4" t="s">
        <v>15</v>
      </c>
      <c r="B684" s="1">
        <v>4288378</v>
      </c>
      <c r="C684" s="35" t="s">
        <v>6427</v>
      </c>
      <c r="D684" s="29" t="s">
        <v>1336</v>
      </c>
      <c r="E684" s="1" t="s">
        <v>3360</v>
      </c>
      <c r="F684" s="1" t="s">
        <v>329</v>
      </c>
      <c r="G684" s="4" t="s">
        <v>5639</v>
      </c>
      <c r="H684" s="4" t="s">
        <v>5721</v>
      </c>
      <c r="I684" s="4" t="s">
        <v>5703</v>
      </c>
      <c r="J684" s="2">
        <v>34821</v>
      </c>
      <c r="K684" s="1" t="s">
        <v>19</v>
      </c>
      <c r="L684" s="1" t="s">
        <v>20</v>
      </c>
      <c r="M684" s="1" t="s">
        <v>3361</v>
      </c>
      <c r="N684" s="1" t="s">
        <v>3362</v>
      </c>
      <c r="O684" s="1" t="s">
        <v>23</v>
      </c>
      <c r="P684" s="1" t="s">
        <v>3363</v>
      </c>
      <c r="Q684" s="1">
        <f>31-611817099</f>
        <v>-611817068</v>
      </c>
      <c r="R684" s="1">
        <v>2013</v>
      </c>
    </row>
    <row r="685" spans="1:19" ht="15" customHeight="1" x14ac:dyDescent="0.25">
      <c r="A685" s="4" t="s">
        <v>15</v>
      </c>
      <c r="B685" s="1">
        <v>4310551</v>
      </c>
      <c r="C685" s="35" t="s">
        <v>6428</v>
      </c>
      <c r="D685" s="29" t="s">
        <v>1336</v>
      </c>
      <c r="E685" s="1" t="s">
        <v>3364</v>
      </c>
      <c r="F685" s="1" t="s">
        <v>1507</v>
      </c>
      <c r="G685" s="4" t="s">
        <v>5639</v>
      </c>
      <c r="H685" s="4" t="s">
        <v>5721</v>
      </c>
      <c r="I685" s="4" t="s">
        <v>5703</v>
      </c>
      <c r="J685" s="2">
        <v>34867</v>
      </c>
      <c r="K685" s="1" t="s">
        <v>19</v>
      </c>
      <c r="L685" s="1" t="s">
        <v>20</v>
      </c>
      <c r="M685" s="1" t="s">
        <v>3365</v>
      </c>
      <c r="N685" s="1" t="s">
        <v>3366</v>
      </c>
      <c r="O685" s="1" t="s">
        <v>23</v>
      </c>
      <c r="P685" s="1" t="s">
        <v>3367</v>
      </c>
      <c r="Q685" s="1">
        <f>31-657976189</f>
        <v>-657976158</v>
      </c>
      <c r="R685" s="1">
        <v>2013</v>
      </c>
    </row>
    <row r="686" spans="1:19" ht="15" customHeight="1" x14ac:dyDescent="0.25">
      <c r="A686" s="4" t="s">
        <v>15</v>
      </c>
      <c r="B686" s="1">
        <v>4233891</v>
      </c>
      <c r="C686" s="35" t="s">
        <v>6429</v>
      </c>
      <c r="D686" s="1" t="s">
        <v>5731</v>
      </c>
      <c r="E686" s="1" t="s">
        <v>5732</v>
      </c>
      <c r="F686" s="1" t="s">
        <v>5730</v>
      </c>
      <c r="G686" s="4" t="s">
        <v>5639</v>
      </c>
      <c r="H686" s="4" t="s">
        <v>5721</v>
      </c>
      <c r="I686" s="4" t="s">
        <v>5703</v>
      </c>
      <c r="J686" s="2">
        <v>34468</v>
      </c>
      <c r="K686" s="1" t="s">
        <v>19</v>
      </c>
      <c r="L686" s="1" t="s">
        <v>111</v>
      </c>
      <c r="R686" s="1">
        <v>2013</v>
      </c>
      <c r="S686" s="1" t="s">
        <v>88</v>
      </c>
    </row>
    <row r="687" spans="1:19" ht="15" customHeight="1" x14ac:dyDescent="0.25">
      <c r="A687" s="4" t="s">
        <v>15</v>
      </c>
      <c r="B687" s="1">
        <v>4298837</v>
      </c>
      <c r="C687" s="35" t="s">
        <v>6430</v>
      </c>
      <c r="D687" s="29" t="s">
        <v>3368</v>
      </c>
      <c r="E687" s="1" t="s">
        <v>3369</v>
      </c>
      <c r="F687" s="1" t="s">
        <v>3370</v>
      </c>
      <c r="G687" s="4" t="s">
        <v>5639</v>
      </c>
      <c r="H687" s="4" t="s">
        <v>5721</v>
      </c>
      <c r="I687" s="4" t="s">
        <v>5703</v>
      </c>
      <c r="J687" s="2">
        <v>34725</v>
      </c>
      <c r="K687" s="1" t="s">
        <v>19</v>
      </c>
      <c r="L687" s="1" t="s">
        <v>20</v>
      </c>
      <c r="M687" s="1" t="s">
        <v>3371</v>
      </c>
      <c r="N687" s="1" t="s">
        <v>3372</v>
      </c>
      <c r="O687" s="1" t="s">
        <v>23</v>
      </c>
      <c r="P687" s="1" t="s">
        <v>3373</v>
      </c>
      <c r="Q687" s="1">
        <f>31-634272887</f>
        <v>-634272856</v>
      </c>
      <c r="R687" s="1">
        <v>2013</v>
      </c>
    </row>
    <row r="688" spans="1:19" ht="15" customHeight="1" x14ac:dyDescent="0.25">
      <c r="A688" s="4" t="s">
        <v>15</v>
      </c>
      <c r="B688" s="1">
        <v>4291387</v>
      </c>
      <c r="C688" s="35" t="s">
        <v>6431</v>
      </c>
      <c r="D688" s="29" t="s">
        <v>3374</v>
      </c>
      <c r="E688" s="1" t="s">
        <v>3375</v>
      </c>
      <c r="F688" s="1" t="s">
        <v>3376</v>
      </c>
      <c r="G688" s="4" t="s">
        <v>5639</v>
      </c>
      <c r="H688" s="4" t="s">
        <v>5721</v>
      </c>
      <c r="I688" s="4" t="s">
        <v>5703</v>
      </c>
      <c r="J688" s="2">
        <v>34830</v>
      </c>
      <c r="K688" s="1" t="s">
        <v>19</v>
      </c>
      <c r="L688" s="1" t="s">
        <v>20</v>
      </c>
      <c r="M688" s="1" t="s">
        <v>3377</v>
      </c>
      <c r="N688" s="1" t="s">
        <v>3378</v>
      </c>
      <c r="O688" s="1" t="s">
        <v>23</v>
      </c>
      <c r="P688" s="1" t="s">
        <v>3379</v>
      </c>
      <c r="Q688" s="1">
        <f>31-641861990</f>
        <v>-641861959</v>
      </c>
      <c r="R688" s="1">
        <v>2013</v>
      </c>
    </row>
    <row r="689" spans="1:20" ht="15" customHeight="1" x14ac:dyDescent="0.25">
      <c r="A689" s="4" t="s">
        <v>15</v>
      </c>
      <c r="B689" s="1">
        <v>4327497</v>
      </c>
      <c r="C689" s="35" t="s">
        <v>6432</v>
      </c>
      <c r="D689" s="29" t="s">
        <v>5049</v>
      </c>
      <c r="E689" s="1" t="s">
        <v>5050</v>
      </c>
      <c r="F689" s="1" t="s">
        <v>5051</v>
      </c>
      <c r="G689" s="34" t="s">
        <v>5640</v>
      </c>
      <c r="H689" s="4" t="s">
        <v>5721</v>
      </c>
      <c r="I689" s="4" t="s">
        <v>5703</v>
      </c>
      <c r="J689" s="2">
        <v>34854</v>
      </c>
      <c r="K689" s="1" t="s">
        <v>19</v>
      </c>
      <c r="L689" s="1" t="s">
        <v>111</v>
      </c>
      <c r="M689" s="1" t="s">
        <v>5052</v>
      </c>
      <c r="N689" s="1" t="s">
        <v>5053</v>
      </c>
      <c r="O689" s="1" t="s">
        <v>23</v>
      </c>
      <c r="P689" s="1" t="s">
        <v>5054</v>
      </c>
      <c r="Q689" s="1">
        <f>31-631249938</f>
        <v>-631249907</v>
      </c>
      <c r="R689" s="1">
        <v>2013</v>
      </c>
    </row>
    <row r="690" spans="1:20" ht="15" customHeight="1" x14ac:dyDescent="0.25">
      <c r="A690" s="4" t="s">
        <v>15</v>
      </c>
      <c r="B690" s="1">
        <v>4334280</v>
      </c>
      <c r="C690" s="35" t="s">
        <v>6433</v>
      </c>
      <c r="D690" s="29" t="s">
        <v>4453</v>
      </c>
      <c r="E690" s="1" t="s">
        <v>4454</v>
      </c>
      <c r="F690" s="1" t="s">
        <v>4455</v>
      </c>
      <c r="G690" s="4" t="s">
        <v>5640</v>
      </c>
      <c r="H690" s="4" t="s">
        <v>5721</v>
      </c>
      <c r="I690" s="4" t="s">
        <v>5703</v>
      </c>
      <c r="J690" s="2">
        <v>34520</v>
      </c>
      <c r="K690" s="1" t="s">
        <v>19</v>
      </c>
      <c r="L690" s="1" t="s">
        <v>20</v>
      </c>
      <c r="M690" s="1" t="s">
        <v>4456</v>
      </c>
      <c r="N690" s="1" t="s">
        <v>4457</v>
      </c>
      <c r="O690" s="1" t="s">
        <v>23</v>
      </c>
      <c r="P690" s="1" t="s">
        <v>4458</v>
      </c>
      <c r="Q690" s="1">
        <f>31-648148126</f>
        <v>-648148095</v>
      </c>
      <c r="R690" s="1">
        <v>2013</v>
      </c>
    </row>
    <row r="691" spans="1:20" ht="15" customHeight="1" x14ac:dyDescent="0.25">
      <c r="A691" s="4" t="s">
        <v>15</v>
      </c>
      <c r="B691" s="1">
        <v>4303091</v>
      </c>
      <c r="C691" s="35" t="s">
        <v>6434</v>
      </c>
      <c r="D691" s="29" t="s">
        <v>4565</v>
      </c>
      <c r="E691" s="1" t="s">
        <v>4566</v>
      </c>
      <c r="F691" s="1" t="s">
        <v>4567</v>
      </c>
      <c r="G691" s="4" t="s">
        <v>5640</v>
      </c>
      <c r="H691" s="4" t="s">
        <v>5721</v>
      </c>
      <c r="I691" s="4" t="s">
        <v>5703</v>
      </c>
      <c r="J691" s="2">
        <v>34634</v>
      </c>
      <c r="K691" s="1" t="s">
        <v>19</v>
      </c>
      <c r="L691" s="1" t="s">
        <v>20</v>
      </c>
      <c r="M691" s="1" t="s">
        <v>4568</v>
      </c>
      <c r="N691" s="1" t="s">
        <v>4569</v>
      </c>
      <c r="O691" s="1" t="s">
        <v>23</v>
      </c>
      <c r="P691" s="1" t="s">
        <v>4570</v>
      </c>
      <c r="Q691" s="1">
        <f>31-681066682</f>
        <v>-681066651</v>
      </c>
      <c r="R691" s="1">
        <v>2013</v>
      </c>
    </row>
    <row r="692" spans="1:20" ht="15" customHeight="1" x14ac:dyDescent="0.25">
      <c r="A692" s="4" t="s">
        <v>15</v>
      </c>
      <c r="B692" s="1">
        <v>4290917</v>
      </c>
      <c r="C692" s="35" t="s">
        <v>6435</v>
      </c>
      <c r="D692" s="29" t="s">
        <v>3655</v>
      </c>
      <c r="E692" s="1" t="s">
        <v>3656</v>
      </c>
      <c r="F692" s="1" t="s">
        <v>998</v>
      </c>
      <c r="G692" s="4" t="s">
        <v>5640</v>
      </c>
      <c r="H692" s="4" t="s">
        <v>5721</v>
      </c>
      <c r="I692" s="4" t="s">
        <v>5703</v>
      </c>
      <c r="J692" s="2">
        <v>34764</v>
      </c>
      <c r="K692" s="1" t="s">
        <v>19</v>
      </c>
      <c r="L692" s="1" t="s">
        <v>20</v>
      </c>
      <c r="M692" s="1" t="s">
        <v>3657</v>
      </c>
      <c r="N692" s="1" t="s">
        <v>3658</v>
      </c>
      <c r="O692" s="1" t="s">
        <v>23</v>
      </c>
      <c r="P692" s="1" t="s">
        <v>3659</v>
      </c>
      <c r="Q692" s="1">
        <f>86-18682751251</f>
        <v>-18682751165</v>
      </c>
      <c r="R692" s="1">
        <v>2013</v>
      </c>
    </row>
    <row r="693" spans="1:20" ht="15" customHeight="1" x14ac:dyDescent="0.25">
      <c r="A693" s="4" t="s">
        <v>15</v>
      </c>
      <c r="B693" s="1">
        <v>4289188</v>
      </c>
      <c r="C693" s="35" t="s">
        <v>6436</v>
      </c>
      <c r="D693" s="29" t="s">
        <v>4692</v>
      </c>
      <c r="E693" s="1" t="s">
        <v>4693</v>
      </c>
      <c r="F693" s="1" t="s">
        <v>396</v>
      </c>
      <c r="G693" s="4" t="s">
        <v>5640</v>
      </c>
      <c r="H693" s="4" t="s">
        <v>5721</v>
      </c>
      <c r="I693" s="4" t="s">
        <v>5703</v>
      </c>
      <c r="J693" s="2">
        <v>34714</v>
      </c>
      <c r="K693" s="1" t="s">
        <v>19</v>
      </c>
      <c r="L693" s="1" t="s">
        <v>20</v>
      </c>
      <c r="M693" s="1" t="s">
        <v>4694</v>
      </c>
      <c r="N693" s="1" t="s">
        <v>4695</v>
      </c>
      <c r="O693" s="1" t="s">
        <v>23</v>
      </c>
      <c r="P693" s="1" t="s">
        <v>4696</v>
      </c>
      <c r="Q693" s="1">
        <f>31-631267607</f>
        <v>-631267576</v>
      </c>
      <c r="R693" s="1">
        <v>2013</v>
      </c>
    </row>
    <row r="694" spans="1:20" ht="15" customHeight="1" x14ac:dyDescent="0.25">
      <c r="A694" s="4" t="s">
        <v>15</v>
      </c>
      <c r="B694" s="1">
        <v>4234324</v>
      </c>
      <c r="C694" s="35" t="s">
        <v>6437</v>
      </c>
      <c r="D694" s="1" t="s">
        <v>5728</v>
      </c>
      <c r="E694" s="1" t="s">
        <v>5729</v>
      </c>
      <c r="F694" s="1" t="s">
        <v>5727</v>
      </c>
      <c r="G694" s="4" t="s">
        <v>5640</v>
      </c>
      <c r="H694" s="4" t="s">
        <v>5721</v>
      </c>
      <c r="I694" s="4" t="s">
        <v>5703</v>
      </c>
      <c r="J694" s="2">
        <v>34453</v>
      </c>
      <c r="K694" s="1" t="s">
        <v>19</v>
      </c>
      <c r="L694" s="1" t="s">
        <v>111</v>
      </c>
      <c r="R694" s="1">
        <v>2013</v>
      </c>
      <c r="S694" s="1" t="s">
        <v>88</v>
      </c>
    </row>
    <row r="695" spans="1:20" ht="15" customHeight="1" x14ac:dyDescent="0.25">
      <c r="A695" s="4" t="s">
        <v>15</v>
      </c>
      <c r="B695" s="1">
        <v>4220234</v>
      </c>
      <c r="C695" s="35" t="s">
        <v>6438</v>
      </c>
      <c r="D695" s="29" t="s">
        <v>4741</v>
      </c>
      <c r="E695" s="1" t="s">
        <v>4742</v>
      </c>
      <c r="F695" s="1" t="s">
        <v>4743</v>
      </c>
      <c r="G695" s="4" t="s">
        <v>5640</v>
      </c>
      <c r="H695" s="4" t="s">
        <v>5721</v>
      </c>
      <c r="I695" s="4" t="s">
        <v>5703</v>
      </c>
      <c r="J695" s="2">
        <v>33878</v>
      </c>
      <c r="K695" s="1" t="s">
        <v>19</v>
      </c>
      <c r="L695" s="1" t="s">
        <v>20</v>
      </c>
      <c r="M695" s="1" t="s">
        <v>4744</v>
      </c>
      <c r="N695" s="1" t="s">
        <v>4745</v>
      </c>
      <c r="O695" s="1" t="s">
        <v>23</v>
      </c>
      <c r="P695" s="1" t="s">
        <v>4746</v>
      </c>
      <c r="Q695" s="1">
        <f>31-655355087</f>
        <v>-655355056</v>
      </c>
      <c r="R695" s="1">
        <v>2012</v>
      </c>
      <c r="S695" s="1" t="s">
        <v>5232</v>
      </c>
    </row>
    <row r="696" spans="1:20" ht="15" customHeight="1" x14ac:dyDescent="0.25">
      <c r="A696" s="4" t="s">
        <v>15</v>
      </c>
      <c r="B696" s="1">
        <v>4277244</v>
      </c>
      <c r="C696" s="35" t="s">
        <v>6439</v>
      </c>
      <c r="D696" s="29" t="s">
        <v>4897</v>
      </c>
      <c r="E696" s="1" t="s">
        <v>4898</v>
      </c>
      <c r="F696" s="1" t="s">
        <v>856</v>
      </c>
      <c r="G696" s="4" t="s">
        <v>5640</v>
      </c>
      <c r="H696" s="4" t="s">
        <v>5721</v>
      </c>
      <c r="I696" s="4" t="s">
        <v>5703</v>
      </c>
      <c r="J696" s="2">
        <v>34823</v>
      </c>
      <c r="K696" s="1" t="s">
        <v>19</v>
      </c>
      <c r="L696" s="1" t="s">
        <v>20</v>
      </c>
      <c r="M696" s="1" t="s">
        <v>4899</v>
      </c>
      <c r="N696" s="1" t="s">
        <v>4900</v>
      </c>
      <c r="O696" s="1" t="s">
        <v>23</v>
      </c>
      <c r="P696" s="1" t="s">
        <v>4901</v>
      </c>
      <c r="Q696" s="1">
        <f>31-623172176</f>
        <v>-623172145</v>
      </c>
      <c r="R696" s="1">
        <v>2013</v>
      </c>
    </row>
    <row r="697" spans="1:20" ht="15" customHeight="1" x14ac:dyDescent="0.25">
      <c r="A697" s="4" t="s">
        <v>15</v>
      </c>
      <c r="B697" s="1">
        <v>4218841</v>
      </c>
      <c r="C697" s="35"/>
      <c r="D697" s="29" t="s">
        <v>5014</v>
      </c>
      <c r="E697" s="1" t="s">
        <v>6516</v>
      </c>
      <c r="F697" s="1" t="s">
        <v>2792</v>
      </c>
      <c r="G697" s="4" t="s">
        <v>5641</v>
      </c>
      <c r="H697" s="4" t="s">
        <v>5721</v>
      </c>
      <c r="I697" s="4" t="s">
        <v>5704</v>
      </c>
      <c r="J697" s="2"/>
      <c r="L697" s="1" t="s">
        <v>20</v>
      </c>
      <c r="R697" s="1">
        <v>2012</v>
      </c>
      <c r="S697" s="1" t="s">
        <v>115</v>
      </c>
    </row>
    <row r="698" spans="1:20" ht="15" customHeight="1" x14ac:dyDescent="0.25">
      <c r="A698" s="34" t="s">
        <v>15</v>
      </c>
      <c r="B698" s="1">
        <v>4295935</v>
      </c>
      <c r="C698" s="35" t="s">
        <v>6440</v>
      </c>
      <c r="D698" s="29" t="s">
        <v>3409</v>
      </c>
      <c r="E698" s="1" t="s">
        <v>3410</v>
      </c>
      <c r="F698" s="1" t="s">
        <v>3411</v>
      </c>
      <c r="G698" s="34" t="s">
        <v>5641</v>
      </c>
      <c r="H698" s="34" t="s">
        <v>5721</v>
      </c>
      <c r="I698" s="34" t="s">
        <v>5704</v>
      </c>
      <c r="J698" s="2">
        <v>34805</v>
      </c>
      <c r="K698" s="1" t="s">
        <v>19</v>
      </c>
      <c r="L698" s="1" t="s">
        <v>111</v>
      </c>
      <c r="M698" s="1" t="s">
        <v>3412</v>
      </c>
      <c r="N698" s="1" t="s">
        <v>3413</v>
      </c>
      <c r="O698" s="1" t="s">
        <v>23</v>
      </c>
      <c r="P698" s="1" t="s">
        <v>3414</v>
      </c>
      <c r="Q698" s="1">
        <f>31-627506660</f>
        <v>-627506629</v>
      </c>
      <c r="R698" s="1">
        <v>2013</v>
      </c>
    </row>
    <row r="699" spans="1:20" ht="15" customHeight="1" x14ac:dyDescent="0.25">
      <c r="A699" s="4" t="s">
        <v>15</v>
      </c>
      <c r="B699" s="1">
        <v>4280385</v>
      </c>
      <c r="C699" s="35" t="s">
        <v>6441</v>
      </c>
      <c r="D699" s="29" t="s">
        <v>3415</v>
      </c>
      <c r="E699" s="1" t="s">
        <v>3416</v>
      </c>
      <c r="F699" s="1" t="s">
        <v>3417</v>
      </c>
      <c r="G699" s="4" t="s">
        <v>5641</v>
      </c>
      <c r="H699" s="4" t="s">
        <v>5721</v>
      </c>
      <c r="I699" s="4" t="s">
        <v>5704</v>
      </c>
      <c r="J699" s="2">
        <v>34705</v>
      </c>
      <c r="K699" s="1" t="s">
        <v>19</v>
      </c>
      <c r="L699" s="1" t="s">
        <v>111</v>
      </c>
      <c r="M699" s="1" t="s">
        <v>3418</v>
      </c>
      <c r="N699" s="1" t="s">
        <v>3419</v>
      </c>
      <c r="O699" s="1" t="s">
        <v>23</v>
      </c>
      <c r="P699" s="1" t="s">
        <v>3420</v>
      </c>
      <c r="Q699" s="1">
        <f>31-627878646</f>
        <v>-627878615</v>
      </c>
      <c r="R699" s="1">
        <v>2013</v>
      </c>
    </row>
    <row r="700" spans="1:20" ht="15" customHeight="1" x14ac:dyDescent="0.25">
      <c r="A700" s="4" t="s">
        <v>15</v>
      </c>
      <c r="B700" s="1">
        <v>4281985</v>
      </c>
      <c r="C700" s="35" t="s">
        <v>6442</v>
      </c>
      <c r="D700" s="29" t="s">
        <v>3386</v>
      </c>
      <c r="E700" s="1" t="s">
        <v>3387</v>
      </c>
      <c r="F700" s="1" t="s">
        <v>130</v>
      </c>
      <c r="G700" s="4" t="s">
        <v>5641</v>
      </c>
      <c r="H700" s="4" t="s">
        <v>5721</v>
      </c>
      <c r="I700" s="4" t="s">
        <v>5704</v>
      </c>
      <c r="J700" s="2">
        <v>34743</v>
      </c>
      <c r="K700" s="1" t="s">
        <v>19</v>
      </c>
      <c r="L700" s="1" t="s">
        <v>20</v>
      </c>
      <c r="M700" s="1" t="s">
        <v>3388</v>
      </c>
      <c r="N700" s="1" t="s">
        <v>3389</v>
      </c>
      <c r="O700" s="1" t="s">
        <v>23</v>
      </c>
      <c r="P700" s="1" t="s">
        <v>3390</v>
      </c>
      <c r="Q700" s="1">
        <f>31-631040923</f>
        <v>-631040892</v>
      </c>
      <c r="R700" s="1">
        <v>2013</v>
      </c>
    </row>
    <row r="701" spans="1:20" ht="15" customHeight="1" x14ac:dyDescent="0.25">
      <c r="A701" s="4" t="s">
        <v>15</v>
      </c>
      <c r="B701" s="1">
        <v>4248651</v>
      </c>
      <c r="C701" s="35" t="s">
        <v>6443</v>
      </c>
      <c r="D701" s="29" t="s">
        <v>3391</v>
      </c>
      <c r="E701" s="1" t="s">
        <v>3392</v>
      </c>
      <c r="F701" s="1" t="s">
        <v>3393</v>
      </c>
      <c r="G701" s="4" t="s">
        <v>5641</v>
      </c>
      <c r="H701" s="4" t="s">
        <v>5721</v>
      </c>
      <c r="I701" s="4" t="s">
        <v>5704</v>
      </c>
      <c r="J701" s="2">
        <v>34546</v>
      </c>
      <c r="K701" s="1" t="s">
        <v>19</v>
      </c>
      <c r="L701" s="1" t="s">
        <v>20</v>
      </c>
      <c r="M701" s="1" t="s">
        <v>3394</v>
      </c>
      <c r="N701" s="1" t="s">
        <v>3395</v>
      </c>
      <c r="O701" s="1" t="s">
        <v>23</v>
      </c>
      <c r="P701" s="1" t="s">
        <v>3396</v>
      </c>
      <c r="Q701" s="1">
        <f>31-625357051</f>
        <v>-625357020</v>
      </c>
      <c r="R701" s="1">
        <v>2013</v>
      </c>
    </row>
    <row r="702" spans="1:20" ht="15" customHeight="1" x14ac:dyDescent="0.25">
      <c r="A702" s="4" t="s">
        <v>15</v>
      </c>
      <c r="B702" s="1">
        <v>4125053</v>
      </c>
      <c r="C702" s="35" t="s">
        <v>6444</v>
      </c>
      <c r="D702" s="29" t="s">
        <v>3406</v>
      </c>
      <c r="E702" s="1" t="s">
        <v>3407</v>
      </c>
      <c r="F702" s="1" t="s">
        <v>271</v>
      </c>
      <c r="G702" s="4" t="s">
        <v>5641</v>
      </c>
      <c r="H702" s="4" t="s">
        <v>5721</v>
      </c>
      <c r="I702" s="4" t="s">
        <v>5704</v>
      </c>
      <c r="J702" s="2">
        <v>33850</v>
      </c>
      <c r="K702" s="1" t="s">
        <v>19</v>
      </c>
      <c r="L702" s="1" t="s">
        <v>20</v>
      </c>
      <c r="P702" s="1" t="s">
        <v>3408</v>
      </c>
      <c r="Q702" s="1">
        <v>653554699</v>
      </c>
      <c r="R702" s="1">
        <v>2013</v>
      </c>
      <c r="T702" s="1" t="s">
        <v>5217</v>
      </c>
    </row>
    <row r="703" spans="1:20" ht="15" customHeight="1" x14ac:dyDescent="0.25">
      <c r="A703" s="4" t="s">
        <v>15</v>
      </c>
      <c r="B703" s="1">
        <v>4309677</v>
      </c>
      <c r="C703" s="35" t="s">
        <v>6445</v>
      </c>
      <c r="D703" s="29" t="s">
        <v>3397</v>
      </c>
      <c r="E703" s="1" t="s">
        <v>3398</v>
      </c>
      <c r="F703" s="1" t="s">
        <v>1146</v>
      </c>
      <c r="G703" s="4" t="s">
        <v>5641</v>
      </c>
      <c r="H703" s="4" t="s">
        <v>5721</v>
      </c>
      <c r="I703" s="4" t="s">
        <v>5704</v>
      </c>
      <c r="J703" s="2">
        <v>34657</v>
      </c>
      <c r="K703" s="1" t="s">
        <v>19</v>
      </c>
      <c r="L703" s="1" t="s">
        <v>20</v>
      </c>
      <c r="M703" s="1" t="s">
        <v>3399</v>
      </c>
      <c r="N703" s="1" t="s">
        <v>3400</v>
      </c>
      <c r="O703" s="1" t="s">
        <v>23</v>
      </c>
      <c r="P703" s="1" t="s">
        <v>3401</v>
      </c>
      <c r="Q703" s="1">
        <f>31-652556055</f>
        <v>-652556024</v>
      </c>
      <c r="R703" s="1">
        <v>2013</v>
      </c>
    </row>
    <row r="704" spans="1:20" ht="15" customHeight="1" x14ac:dyDescent="0.25">
      <c r="A704" s="4" t="s">
        <v>15</v>
      </c>
      <c r="B704" s="1">
        <v>4313968</v>
      </c>
      <c r="C704" s="35" t="s">
        <v>6446</v>
      </c>
      <c r="D704" s="29" t="s">
        <v>1884</v>
      </c>
      <c r="E704" s="1" t="s">
        <v>3402</v>
      </c>
      <c r="F704" s="1" t="s">
        <v>483</v>
      </c>
      <c r="G704" s="4" t="s">
        <v>5641</v>
      </c>
      <c r="H704" s="4" t="s">
        <v>5721</v>
      </c>
      <c r="I704" s="4" t="s">
        <v>5704</v>
      </c>
      <c r="J704" s="2">
        <v>34354</v>
      </c>
      <c r="K704" s="1" t="s">
        <v>19</v>
      </c>
      <c r="L704" s="1" t="s">
        <v>20</v>
      </c>
      <c r="M704" s="1" t="s">
        <v>3403</v>
      </c>
      <c r="N704" s="1" t="s">
        <v>3404</v>
      </c>
      <c r="O704" s="1" t="s">
        <v>23</v>
      </c>
      <c r="P704" s="1" t="s">
        <v>3405</v>
      </c>
      <c r="Q704" s="1">
        <f>31-631560779</f>
        <v>-631560748</v>
      </c>
      <c r="R704" s="1">
        <v>2013</v>
      </c>
    </row>
    <row r="705" spans="1:20" ht="15" customHeight="1" x14ac:dyDescent="0.25">
      <c r="A705" s="4" t="s">
        <v>15</v>
      </c>
      <c r="B705" s="1">
        <v>4304136</v>
      </c>
      <c r="C705" s="35" t="s">
        <v>6447</v>
      </c>
      <c r="D705" s="1" t="s">
        <v>3803</v>
      </c>
      <c r="E705" s="1" t="s">
        <v>3804</v>
      </c>
      <c r="F705" s="1" t="s">
        <v>3805</v>
      </c>
      <c r="G705" s="4" t="s">
        <v>5642</v>
      </c>
      <c r="H705" s="4" t="s">
        <v>5721</v>
      </c>
      <c r="I705" s="4" t="s">
        <v>5704</v>
      </c>
      <c r="J705" s="2">
        <v>34070</v>
      </c>
      <c r="K705" s="1" t="s">
        <v>19</v>
      </c>
      <c r="L705" s="1" t="s">
        <v>20</v>
      </c>
      <c r="M705" s="1" t="s">
        <v>3806</v>
      </c>
      <c r="N705" s="1" t="s">
        <v>3807</v>
      </c>
      <c r="O705" s="1" t="s">
        <v>23</v>
      </c>
      <c r="P705" s="1" t="s">
        <v>3808</v>
      </c>
      <c r="Q705" s="1">
        <f>31-624126093</f>
        <v>-624126062</v>
      </c>
      <c r="R705" s="1">
        <v>2013</v>
      </c>
    </row>
    <row r="706" spans="1:20" ht="15" customHeight="1" x14ac:dyDescent="0.25">
      <c r="A706" s="4" t="s">
        <v>15</v>
      </c>
      <c r="B706" s="1">
        <v>4302087</v>
      </c>
      <c r="C706" s="35" t="s">
        <v>6448</v>
      </c>
      <c r="D706" s="29" t="s">
        <v>3421</v>
      </c>
      <c r="E706" s="1" t="s">
        <v>3422</v>
      </c>
      <c r="F706" s="1" t="s">
        <v>483</v>
      </c>
      <c r="G706" s="4" t="s">
        <v>5642</v>
      </c>
      <c r="H706" s="4" t="s">
        <v>5721</v>
      </c>
      <c r="I706" s="4" t="s">
        <v>5704</v>
      </c>
      <c r="J706" s="2">
        <v>34816</v>
      </c>
      <c r="K706" s="1" t="s">
        <v>19</v>
      </c>
      <c r="L706" s="1" t="s">
        <v>20</v>
      </c>
      <c r="M706" s="1" t="s">
        <v>3423</v>
      </c>
      <c r="N706" s="1" t="s">
        <v>3424</v>
      </c>
      <c r="O706" s="1" t="s">
        <v>23</v>
      </c>
      <c r="P706" s="1" t="s">
        <v>3425</v>
      </c>
      <c r="Q706" s="1">
        <f>31-624969556</f>
        <v>-624969525</v>
      </c>
      <c r="R706" s="1">
        <v>2013</v>
      </c>
    </row>
    <row r="707" spans="1:20" ht="15" customHeight="1" x14ac:dyDescent="0.25">
      <c r="A707" s="4" t="s">
        <v>15</v>
      </c>
      <c r="B707" s="1">
        <v>4332059</v>
      </c>
      <c r="C707" s="35" t="s">
        <v>6449</v>
      </c>
      <c r="D707" s="29" t="s">
        <v>3426</v>
      </c>
      <c r="E707" s="1" t="s">
        <v>3427</v>
      </c>
      <c r="F707" s="1" t="s">
        <v>3428</v>
      </c>
      <c r="G707" s="4" t="s">
        <v>5642</v>
      </c>
      <c r="H707" s="4" t="s">
        <v>5721</v>
      </c>
      <c r="I707" s="4" t="s">
        <v>5704</v>
      </c>
      <c r="J707" s="2">
        <v>34662</v>
      </c>
      <c r="K707" s="1" t="s">
        <v>19</v>
      </c>
      <c r="L707" s="1" t="s">
        <v>20</v>
      </c>
      <c r="M707" s="1" t="s">
        <v>3429</v>
      </c>
      <c r="N707" s="1" t="s">
        <v>3430</v>
      </c>
      <c r="O707" s="1" t="s">
        <v>23</v>
      </c>
      <c r="P707" s="1" t="s">
        <v>3431</v>
      </c>
      <c r="Q707" s="1">
        <f>31-638283375</f>
        <v>-638283344</v>
      </c>
      <c r="R707" s="1">
        <v>2013</v>
      </c>
    </row>
    <row r="708" spans="1:20" ht="15" customHeight="1" x14ac:dyDescent="0.25">
      <c r="A708" s="4" t="s">
        <v>15</v>
      </c>
      <c r="B708" s="1">
        <v>4333462</v>
      </c>
      <c r="C708" s="35" t="s">
        <v>6450</v>
      </c>
      <c r="D708" s="29" t="s">
        <v>3452</v>
      </c>
      <c r="E708" s="1" t="s">
        <v>3453</v>
      </c>
      <c r="F708" s="1" t="s">
        <v>3454</v>
      </c>
      <c r="G708" s="4" t="s">
        <v>5642</v>
      </c>
      <c r="H708" s="4" t="s">
        <v>5721</v>
      </c>
      <c r="I708" s="4" t="s">
        <v>5704</v>
      </c>
      <c r="J708" s="2">
        <v>33857</v>
      </c>
      <c r="K708" s="1" t="s">
        <v>19</v>
      </c>
      <c r="L708" s="1" t="s">
        <v>111</v>
      </c>
      <c r="M708" s="1" t="s">
        <v>3455</v>
      </c>
      <c r="N708" s="1" t="s">
        <v>3456</v>
      </c>
      <c r="O708" s="1" t="s">
        <v>23</v>
      </c>
      <c r="P708" s="1" t="s">
        <v>3457</v>
      </c>
      <c r="Q708" s="1">
        <f>31-653689043</f>
        <v>-653689012</v>
      </c>
      <c r="R708" s="1">
        <v>2013</v>
      </c>
    </row>
    <row r="709" spans="1:20" ht="15" customHeight="1" x14ac:dyDescent="0.25">
      <c r="A709" s="4" t="s">
        <v>15</v>
      </c>
      <c r="B709" s="1">
        <v>4307356</v>
      </c>
      <c r="C709" s="35" t="s">
        <v>6451</v>
      </c>
      <c r="D709" s="29" t="s">
        <v>3432</v>
      </c>
      <c r="E709" s="1" t="s">
        <v>3433</v>
      </c>
      <c r="F709" s="1" t="s">
        <v>3434</v>
      </c>
      <c r="G709" s="4" t="s">
        <v>5642</v>
      </c>
      <c r="H709" s="4" t="s">
        <v>5721</v>
      </c>
      <c r="I709" s="4" t="s">
        <v>5704</v>
      </c>
      <c r="J709" s="2">
        <v>34588</v>
      </c>
      <c r="K709" s="1" t="s">
        <v>19</v>
      </c>
      <c r="L709" s="1" t="s">
        <v>20</v>
      </c>
      <c r="M709" s="1" t="s">
        <v>3435</v>
      </c>
      <c r="N709" s="1" t="s">
        <v>3436</v>
      </c>
      <c r="O709" s="1" t="s">
        <v>23</v>
      </c>
      <c r="P709" s="1" t="s">
        <v>3437</v>
      </c>
      <c r="Q709" s="1">
        <f>31-683102389</f>
        <v>-683102358</v>
      </c>
      <c r="R709" s="1">
        <v>2013</v>
      </c>
    </row>
    <row r="710" spans="1:20" ht="15" customHeight="1" x14ac:dyDescent="0.25">
      <c r="A710" s="4" t="s">
        <v>15</v>
      </c>
      <c r="B710" s="1">
        <v>4300149</v>
      </c>
      <c r="C710" s="35" t="s">
        <v>6452</v>
      </c>
      <c r="D710" s="29" t="s">
        <v>3438</v>
      </c>
      <c r="E710" s="1" t="s">
        <v>3439</v>
      </c>
      <c r="F710" s="1" t="s">
        <v>3440</v>
      </c>
      <c r="G710" s="4" t="s">
        <v>5642</v>
      </c>
      <c r="H710" s="4" t="s">
        <v>5721</v>
      </c>
      <c r="I710" s="4" t="s">
        <v>5704</v>
      </c>
      <c r="J710" s="2">
        <v>34630</v>
      </c>
      <c r="K710" s="1" t="s">
        <v>19</v>
      </c>
      <c r="L710" s="1" t="s">
        <v>20</v>
      </c>
      <c r="M710" s="1" t="s">
        <v>3441</v>
      </c>
      <c r="N710" s="1" t="s">
        <v>3442</v>
      </c>
      <c r="O710" s="1" t="s">
        <v>23</v>
      </c>
      <c r="P710" s="1" t="s">
        <v>3443</v>
      </c>
      <c r="Q710" s="1">
        <f>31-623596361</f>
        <v>-623596330</v>
      </c>
      <c r="R710" s="1">
        <v>2013</v>
      </c>
    </row>
    <row r="711" spans="1:20" ht="15" customHeight="1" x14ac:dyDescent="0.25">
      <c r="A711" s="4" t="s">
        <v>15</v>
      </c>
      <c r="B711" s="1">
        <v>4253965</v>
      </c>
      <c r="C711" s="35" t="s">
        <v>6453</v>
      </c>
      <c r="D711" s="29" t="s">
        <v>5210</v>
      </c>
      <c r="E711" s="1" t="s">
        <v>3450</v>
      </c>
      <c r="F711" s="1" t="s">
        <v>396</v>
      </c>
      <c r="G711" s="4" t="s">
        <v>5642</v>
      </c>
      <c r="H711" s="4" t="s">
        <v>5721</v>
      </c>
      <c r="I711" s="4" t="s">
        <v>5704</v>
      </c>
      <c r="L711" s="1" t="s">
        <v>20</v>
      </c>
      <c r="P711" s="1" t="s">
        <v>3451</v>
      </c>
      <c r="Q711" s="1">
        <v>636110335</v>
      </c>
      <c r="R711" s="1">
        <v>2013</v>
      </c>
    </row>
    <row r="712" spans="1:20" ht="15" customHeight="1" x14ac:dyDescent="0.25">
      <c r="A712" s="4" t="s">
        <v>15</v>
      </c>
      <c r="B712" s="1">
        <v>4314298</v>
      </c>
      <c r="C712" s="35" t="s">
        <v>6454</v>
      </c>
      <c r="D712" s="29" t="s">
        <v>3444</v>
      </c>
      <c r="E712" s="1" t="s">
        <v>3445</v>
      </c>
      <c r="F712" s="1" t="s">
        <v>3446</v>
      </c>
      <c r="G712" s="4" t="s">
        <v>5642</v>
      </c>
      <c r="H712" s="4" t="s">
        <v>5721</v>
      </c>
      <c r="I712" s="4" t="s">
        <v>5704</v>
      </c>
      <c r="J712" s="2">
        <v>34762</v>
      </c>
      <c r="K712" s="1" t="s">
        <v>19</v>
      </c>
      <c r="L712" s="1" t="s">
        <v>20</v>
      </c>
      <c r="M712" s="1" t="s">
        <v>3447</v>
      </c>
      <c r="N712" s="1" t="s">
        <v>3448</v>
      </c>
      <c r="O712" s="1" t="s">
        <v>23</v>
      </c>
      <c r="P712" s="1" t="s">
        <v>3449</v>
      </c>
      <c r="Q712" s="1">
        <f>31-652171008</f>
        <v>-652170977</v>
      </c>
      <c r="R712" s="1">
        <v>2013</v>
      </c>
    </row>
    <row r="713" spans="1:20" ht="15" customHeight="1" x14ac:dyDescent="0.25">
      <c r="A713" s="4" t="s">
        <v>15</v>
      </c>
      <c r="B713" s="1">
        <v>4318978</v>
      </c>
      <c r="C713" s="35" t="s">
        <v>6455</v>
      </c>
      <c r="D713" s="29" t="s">
        <v>3458</v>
      </c>
      <c r="E713" s="1" t="s">
        <v>3459</v>
      </c>
      <c r="F713" s="1" t="s">
        <v>2441</v>
      </c>
      <c r="G713" s="34" t="s">
        <v>5643</v>
      </c>
      <c r="H713" s="4" t="s">
        <v>5721</v>
      </c>
      <c r="I713" s="4" t="s">
        <v>5705</v>
      </c>
      <c r="J713" s="2">
        <v>34813</v>
      </c>
      <c r="K713" s="1" t="s">
        <v>19</v>
      </c>
      <c r="L713" s="1" t="s">
        <v>20</v>
      </c>
      <c r="M713" s="1" t="s">
        <v>3460</v>
      </c>
      <c r="N713" s="1" t="s">
        <v>3461</v>
      </c>
      <c r="O713" s="1" t="s">
        <v>23</v>
      </c>
      <c r="P713" s="1" t="s">
        <v>3462</v>
      </c>
      <c r="Q713" s="1">
        <f>31-630432924</f>
        <v>-630432893</v>
      </c>
      <c r="R713" s="1">
        <v>2013</v>
      </c>
    </row>
    <row r="714" spans="1:20" ht="15" customHeight="1" x14ac:dyDescent="0.25">
      <c r="A714" s="4" t="s">
        <v>15</v>
      </c>
      <c r="B714" s="1">
        <v>4235711</v>
      </c>
      <c r="C714" s="35" t="s">
        <v>6521</v>
      </c>
      <c r="D714" s="29" t="s">
        <v>6522</v>
      </c>
      <c r="E714" s="1" t="s">
        <v>6523</v>
      </c>
      <c r="F714" s="1" t="s">
        <v>84</v>
      </c>
      <c r="G714" s="4" t="s">
        <v>5643</v>
      </c>
      <c r="H714" s="4" t="s">
        <v>5721</v>
      </c>
      <c r="I714" s="4" t="s">
        <v>5705</v>
      </c>
      <c r="L714" s="1" t="s">
        <v>20</v>
      </c>
      <c r="R714" s="1">
        <v>2013</v>
      </c>
      <c r="T714" s="1" t="s">
        <v>5217</v>
      </c>
    </row>
    <row r="715" spans="1:20" ht="15" customHeight="1" x14ac:dyDescent="0.25">
      <c r="A715" s="4" t="s">
        <v>15</v>
      </c>
      <c r="B715" s="1">
        <v>4222091</v>
      </c>
      <c r="C715" s="35" t="s">
        <v>6456</v>
      </c>
      <c r="D715" s="29" t="s">
        <v>3481</v>
      </c>
      <c r="E715" s="1" t="s">
        <v>3482</v>
      </c>
      <c r="F715" s="1" t="s">
        <v>3483</v>
      </c>
      <c r="G715" s="4" t="s">
        <v>5643</v>
      </c>
      <c r="H715" s="4" t="s">
        <v>5721</v>
      </c>
      <c r="I715" s="4" t="s">
        <v>5705</v>
      </c>
      <c r="J715" s="2">
        <v>34233</v>
      </c>
      <c r="K715" s="1" t="s">
        <v>19</v>
      </c>
      <c r="L715" s="1" t="s">
        <v>111</v>
      </c>
      <c r="M715" s="1" t="s">
        <v>3484</v>
      </c>
      <c r="N715" s="1" t="s">
        <v>3485</v>
      </c>
      <c r="O715" s="1" t="s">
        <v>23</v>
      </c>
      <c r="P715" s="1" t="s">
        <v>3486</v>
      </c>
      <c r="Q715" s="1">
        <f>31-630360369</f>
        <v>-630360338</v>
      </c>
      <c r="R715" s="1">
        <v>2012</v>
      </c>
      <c r="S715" s="1" t="s">
        <v>88</v>
      </c>
    </row>
    <row r="716" spans="1:20" ht="15" customHeight="1" x14ac:dyDescent="0.25">
      <c r="A716" s="4" t="s">
        <v>15</v>
      </c>
      <c r="B716" s="1">
        <v>4232089</v>
      </c>
      <c r="C716" s="35" t="s">
        <v>6457</v>
      </c>
      <c r="D716" s="29" t="s">
        <v>5257</v>
      </c>
      <c r="E716" s="1" t="s">
        <v>5258</v>
      </c>
      <c r="F716" s="1" t="s">
        <v>348</v>
      </c>
      <c r="G716" s="4" t="s">
        <v>5643</v>
      </c>
      <c r="H716" s="4" t="s">
        <v>5721</v>
      </c>
      <c r="I716" s="4" t="s">
        <v>5705</v>
      </c>
      <c r="J716" s="2">
        <v>34096</v>
      </c>
      <c r="K716" s="1" t="s">
        <v>19</v>
      </c>
      <c r="L716" s="1" t="s">
        <v>20</v>
      </c>
      <c r="R716" s="1">
        <v>2012</v>
      </c>
      <c r="S716" s="1" t="s">
        <v>5249</v>
      </c>
    </row>
    <row r="717" spans="1:20" ht="15" customHeight="1" x14ac:dyDescent="0.25">
      <c r="A717" s="4" t="s">
        <v>15</v>
      </c>
      <c r="B717" s="1">
        <v>4158377</v>
      </c>
      <c r="C717" s="35" t="s">
        <v>6458</v>
      </c>
      <c r="D717" s="29" t="s">
        <v>3463</v>
      </c>
      <c r="E717" s="1" t="s">
        <v>3464</v>
      </c>
      <c r="F717" s="1" t="s">
        <v>3465</v>
      </c>
      <c r="G717" s="4" t="s">
        <v>5643</v>
      </c>
      <c r="H717" s="4" t="s">
        <v>5721</v>
      </c>
      <c r="I717" s="4" t="s">
        <v>5705</v>
      </c>
      <c r="J717" s="2">
        <v>34221</v>
      </c>
      <c r="K717" s="1" t="s">
        <v>19</v>
      </c>
      <c r="L717" s="1" t="s">
        <v>20</v>
      </c>
      <c r="M717" s="1" t="s">
        <v>3466</v>
      </c>
      <c r="N717" s="1" t="s">
        <v>3467</v>
      </c>
      <c r="O717" s="1" t="s">
        <v>23</v>
      </c>
      <c r="P717" s="1" t="s">
        <v>3468</v>
      </c>
      <c r="Q717" s="1">
        <f>31-630036023</f>
        <v>-630035992</v>
      </c>
      <c r="R717" s="1">
        <v>2011</v>
      </c>
      <c r="S717" s="1" t="s">
        <v>5239</v>
      </c>
    </row>
    <row r="718" spans="1:20" ht="15" customHeight="1" x14ac:dyDescent="0.25">
      <c r="A718" s="4" t="s">
        <v>15</v>
      </c>
      <c r="B718" s="1">
        <v>4289625</v>
      </c>
      <c r="C718" s="35" t="s">
        <v>6459</v>
      </c>
      <c r="D718" s="29" t="s">
        <v>3469</v>
      </c>
      <c r="E718" s="1" t="s">
        <v>3470</v>
      </c>
      <c r="F718" s="1" t="s">
        <v>3471</v>
      </c>
      <c r="G718" s="4" t="s">
        <v>5643</v>
      </c>
      <c r="H718" s="4" t="s">
        <v>5721</v>
      </c>
      <c r="I718" s="4" t="s">
        <v>5705</v>
      </c>
      <c r="J718" s="2">
        <v>34873</v>
      </c>
      <c r="K718" s="1" t="s">
        <v>19</v>
      </c>
      <c r="L718" s="1" t="s">
        <v>20</v>
      </c>
      <c r="M718" s="1" t="s">
        <v>3472</v>
      </c>
      <c r="N718" s="1" t="s">
        <v>3473</v>
      </c>
      <c r="O718" s="1" t="s">
        <v>23</v>
      </c>
      <c r="P718" s="1" t="s">
        <v>3474</v>
      </c>
      <c r="Q718" s="1">
        <f>31-616617808</f>
        <v>-616617777</v>
      </c>
      <c r="R718" s="1">
        <v>2013</v>
      </c>
    </row>
    <row r="719" spans="1:20" ht="15" customHeight="1" x14ac:dyDescent="0.25">
      <c r="A719" s="4" t="s">
        <v>15</v>
      </c>
      <c r="B719" s="1">
        <v>4276078</v>
      </c>
      <c r="C719" s="35" t="s">
        <v>6460</v>
      </c>
      <c r="D719" s="29" t="s">
        <v>3487</v>
      </c>
      <c r="E719" s="1" t="s">
        <v>3488</v>
      </c>
      <c r="F719" s="1" t="s">
        <v>3489</v>
      </c>
      <c r="G719" s="4" t="s">
        <v>5643</v>
      </c>
      <c r="H719" s="4" t="s">
        <v>5721</v>
      </c>
      <c r="I719" s="4" t="s">
        <v>5705</v>
      </c>
      <c r="J719" s="2">
        <v>34865</v>
      </c>
      <c r="K719" s="1" t="s">
        <v>19</v>
      </c>
      <c r="L719" s="1" t="s">
        <v>111</v>
      </c>
      <c r="M719" s="1" t="s">
        <v>3490</v>
      </c>
      <c r="N719" s="1" t="s">
        <v>3491</v>
      </c>
      <c r="O719" s="1" t="s">
        <v>23</v>
      </c>
      <c r="P719" s="1" t="s">
        <v>3492</v>
      </c>
      <c r="Q719" s="1">
        <f>31-683062123</f>
        <v>-683062092</v>
      </c>
      <c r="R719" s="1">
        <v>2013</v>
      </c>
    </row>
    <row r="720" spans="1:20" ht="15" customHeight="1" x14ac:dyDescent="0.25">
      <c r="A720" s="4" t="s">
        <v>15</v>
      </c>
      <c r="B720" s="1">
        <v>4309863</v>
      </c>
      <c r="C720" s="35" t="s">
        <v>6461</v>
      </c>
      <c r="D720" s="29" t="s">
        <v>3475</v>
      </c>
      <c r="E720" s="1" t="s">
        <v>3476</v>
      </c>
      <c r="F720" s="1" t="s">
        <v>3477</v>
      </c>
      <c r="G720" s="34" t="s">
        <v>5643</v>
      </c>
      <c r="H720" s="4" t="s">
        <v>5721</v>
      </c>
      <c r="I720" s="4" t="s">
        <v>5705</v>
      </c>
      <c r="J720" s="2">
        <v>35260</v>
      </c>
      <c r="K720" s="1" t="s">
        <v>19</v>
      </c>
      <c r="L720" s="1" t="s">
        <v>20</v>
      </c>
      <c r="M720" s="1" t="s">
        <v>3478</v>
      </c>
      <c r="N720" s="1" t="s">
        <v>3479</v>
      </c>
      <c r="O720" s="1" t="s">
        <v>23</v>
      </c>
      <c r="P720" s="1" t="s">
        <v>3480</v>
      </c>
      <c r="Q720" s="1">
        <f>31-638628534</f>
        <v>-638628503</v>
      </c>
      <c r="R720" s="1">
        <v>2013</v>
      </c>
    </row>
    <row r="721" spans="1:20" ht="15" customHeight="1" x14ac:dyDescent="0.25">
      <c r="A721" s="4" t="s">
        <v>15</v>
      </c>
      <c r="B721" s="1">
        <v>4251253</v>
      </c>
      <c r="C721" s="35" t="s">
        <v>6462</v>
      </c>
      <c r="D721" s="29" t="s">
        <v>3525</v>
      </c>
      <c r="E721" s="1" t="s">
        <v>3526</v>
      </c>
      <c r="F721" s="1" t="s">
        <v>3527</v>
      </c>
      <c r="G721" s="4" t="s">
        <v>5644</v>
      </c>
      <c r="H721" s="4" t="s">
        <v>5721</v>
      </c>
      <c r="I721" s="4" t="s">
        <v>5705</v>
      </c>
      <c r="J721" s="2">
        <v>33765</v>
      </c>
      <c r="K721" s="1" t="s">
        <v>19</v>
      </c>
      <c r="L721" s="1" t="s">
        <v>20</v>
      </c>
      <c r="R721" s="1">
        <v>2013</v>
      </c>
      <c r="T721" s="1" t="s">
        <v>5217</v>
      </c>
    </row>
    <row r="722" spans="1:20" ht="15" customHeight="1" x14ac:dyDescent="0.25">
      <c r="A722" s="4" t="s">
        <v>15</v>
      </c>
      <c r="B722" s="1">
        <v>4294920</v>
      </c>
      <c r="C722" s="35" t="s">
        <v>6463</v>
      </c>
      <c r="D722" s="29" t="s">
        <v>3493</v>
      </c>
      <c r="E722" s="1" t="s">
        <v>3494</v>
      </c>
      <c r="F722" s="1" t="s">
        <v>1819</v>
      </c>
      <c r="G722" s="4" t="s">
        <v>5644</v>
      </c>
      <c r="H722" s="4" t="s">
        <v>5721</v>
      </c>
      <c r="I722" s="4" t="s">
        <v>5705</v>
      </c>
      <c r="J722" s="2">
        <v>34829</v>
      </c>
      <c r="K722" s="1" t="s">
        <v>19</v>
      </c>
      <c r="L722" s="1" t="s">
        <v>20</v>
      </c>
      <c r="M722" s="1" t="s">
        <v>3495</v>
      </c>
      <c r="N722" s="1" t="s">
        <v>3496</v>
      </c>
      <c r="O722" s="1" t="s">
        <v>23</v>
      </c>
      <c r="P722" s="1" t="s">
        <v>3497</v>
      </c>
      <c r="Q722" s="1">
        <f>31-619823451</f>
        <v>-619823420</v>
      </c>
      <c r="R722" s="1">
        <v>2013</v>
      </c>
    </row>
    <row r="723" spans="1:20" ht="15" customHeight="1" x14ac:dyDescent="0.25">
      <c r="A723" s="4" t="s">
        <v>15</v>
      </c>
      <c r="B723" s="1">
        <v>4301773</v>
      </c>
      <c r="C723" s="35" t="s">
        <v>6464</v>
      </c>
      <c r="D723" s="29" t="s">
        <v>3520</v>
      </c>
      <c r="E723" s="1" t="s">
        <v>3521</v>
      </c>
      <c r="F723" s="1" t="s">
        <v>110</v>
      </c>
      <c r="G723" s="4" t="s">
        <v>5644</v>
      </c>
      <c r="H723" s="4" t="s">
        <v>5721</v>
      </c>
      <c r="I723" s="4" t="s">
        <v>5705</v>
      </c>
      <c r="J723" s="2">
        <v>34775</v>
      </c>
      <c r="K723" s="1" t="s">
        <v>19</v>
      </c>
      <c r="L723" s="1" t="s">
        <v>111</v>
      </c>
      <c r="M723" s="1" t="s">
        <v>3522</v>
      </c>
      <c r="N723" s="1" t="s">
        <v>3523</v>
      </c>
      <c r="O723" s="1" t="s">
        <v>23</v>
      </c>
      <c r="P723" s="1" t="s">
        <v>3524</v>
      </c>
      <c r="Q723" s="1">
        <f>31-620009442</f>
        <v>-620009411</v>
      </c>
      <c r="R723" s="1">
        <v>2013</v>
      </c>
    </row>
    <row r="724" spans="1:20" ht="15" customHeight="1" x14ac:dyDescent="0.25">
      <c r="A724" s="4" t="s">
        <v>15</v>
      </c>
      <c r="B724" s="1">
        <v>4291735</v>
      </c>
      <c r="C724" s="35" t="s">
        <v>6465</v>
      </c>
      <c r="D724" s="29" t="s">
        <v>3498</v>
      </c>
      <c r="E724" s="1" t="s">
        <v>3499</v>
      </c>
      <c r="F724" s="1" t="s">
        <v>3500</v>
      </c>
      <c r="G724" s="4" t="s">
        <v>5644</v>
      </c>
      <c r="H724" s="4" t="s">
        <v>5721</v>
      </c>
      <c r="I724" s="4" t="s">
        <v>5705</v>
      </c>
      <c r="J724" s="2">
        <v>34339</v>
      </c>
      <c r="K724" s="1" t="s">
        <v>19</v>
      </c>
      <c r="L724" s="1" t="s">
        <v>20</v>
      </c>
      <c r="M724" s="1" t="s">
        <v>3501</v>
      </c>
      <c r="N724" s="1" t="s">
        <v>3502</v>
      </c>
      <c r="O724" s="1" t="s">
        <v>23</v>
      </c>
      <c r="P724" s="1" t="s">
        <v>3503</v>
      </c>
      <c r="Q724" s="1">
        <f>31-643431893</f>
        <v>-643431862</v>
      </c>
      <c r="R724" s="1">
        <v>2013</v>
      </c>
    </row>
    <row r="725" spans="1:20" ht="15" customHeight="1" x14ac:dyDescent="0.25">
      <c r="A725" s="4" t="s">
        <v>15</v>
      </c>
      <c r="B725" s="1">
        <v>4315359</v>
      </c>
      <c r="C725" s="35" t="s">
        <v>6466</v>
      </c>
      <c r="D725" s="29" t="s">
        <v>3504</v>
      </c>
      <c r="E725" s="1" t="s">
        <v>3505</v>
      </c>
      <c r="F725" s="1" t="s">
        <v>637</v>
      </c>
      <c r="G725" s="4" t="s">
        <v>5644</v>
      </c>
      <c r="H725" s="34" t="s">
        <v>5721</v>
      </c>
      <c r="I725" s="34" t="s">
        <v>5705</v>
      </c>
      <c r="J725" s="2">
        <v>34358</v>
      </c>
      <c r="K725" s="1" t="s">
        <v>19</v>
      </c>
      <c r="L725" s="1" t="s">
        <v>20</v>
      </c>
      <c r="M725" s="1" t="s">
        <v>3506</v>
      </c>
      <c r="N725" s="1" t="s">
        <v>3507</v>
      </c>
      <c r="O725" s="1" t="s">
        <v>23</v>
      </c>
      <c r="P725" s="1" t="s">
        <v>3508</v>
      </c>
      <c r="Q725" s="1">
        <f>31-646383330</f>
        <v>-646383299</v>
      </c>
      <c r="R725" s="1">
        <v>2013</v>
      </c>
    </row>
    <row r="726" spans="1:20" ht="15" customHeight="1" x14ac:dyDescent="0.25">
      <c r="A726" s="4" t="s">
        <v>15</v>
      </c>
      <c r="B726" s="1">
        <v>4232852</v>
      </c>
      <c r="C726" s="35" t="s">
        <v>6467</v>
      </c>
      <c r="D726" s="29" t="s">
        <v>3509</v>
      </c>
      <c r="E726" s="1" t="s">
        <v>3510</v>
      </c>
      <c r="F726" s="1" t="s">
        <v>2529</v>
      </c>
      <c r="G726" s="4" t="s">
        <v>5644</v>
      </c>
      <c r="H726" s="4" t="s">
        <v>5721</v>
      </c>
      <c r="I726" s="4" t="s">
        <v>5705</v>
      </c>
      <c r="J726" s="2">
        <v>34454</v>
      </c>
      <c r="K726" s="1" t="s">
        <v>19</v>
      </c>
      <c r="L726" s="1" t="s">
        <v>20</v>
      </c>
      <c r="M726" s="1" t="s">
        <v>3511</v>
      </c>
      <c r="N726" s="1" t="s">
        <v>3512</v>
      </c>
      <c r="O726" s="1" t="s">
        <v>23</v>
      </c>
      <c r="P726" s="1" t="s">
        <v>3513</v>
      </c>
      <c r="Q726" s="1">
        <f>31-623613535</f>
        <v>-623613504</v>
      </c>
      <c r="R726" s="1">
        <v>2012</v>
      </c>
      <c r="S726" s="1" t="s">
        <v>88</v>
      </c>
    </row>
    <row r="727" spans="1:20" ht="15" customHeight="1" x14ac:dyDescent="0.25">
      <c r="A727" s="4" t="s">
        <v>15</v>
      </c>
      <c r="B727" s="1">
        <v>4221621</v>
      </c>
      <c r="C727" s="35" t="s">
        <v>6468</v>
      </c>
      <c r="D727" s="29" t="s">
        <v>3514</v>
      </c>
      <c r="E727" s="1" t="s">
        <v>3515</v>
      </c>
      <c r="F727" s="1" t="s">
        <v>3516</v>
      </c>
      <c r="G727" s="4" t="s">
        <v>5644</v>
      </c>
      <c r="H727" s="4" t="s">
        <v>5721</v>
      </c>
      <c r="I727" s="4" t="s">
        <v>5705</v>
      </c>
      <c r="J727" s="2">
        <v>34051</v>
      </c>
      <c r="K727" s="1" t="s">
        <v>19</v>
      </c>
      <c r="L727" s="1" t="s">
        <v>20</v>
      </c>
      <c r="M727" s="1" t="s">
        <v>3517</v>
      </c>
      <c r="N727" s="1" t="s">
        <v>3518</v>
      </c>
      <c r="O727" s="1" t="s">
        <v>23</v>
      </c>
      <c r="P727" s="1" t="s">
        <v>3519</v>
      </c>
      <c r="Q727" s="1">
        <f>31-622019423</f>
        <v>-622019392</v>
      </c>
      <c r="R727" s="1">
        <v>2012</v>
      </c>
      <c r="S727" s="1" t="s">
        <v>88</v>
      </c>
    </row>
    <row r="728" spans="1:20" ht="15" customHeight="1" x14ac:dyDescent="0.25">
      <c r="A728" s="4" t="s">
        <v>15</v>
      </c>
      <c r="B728" s="1">
        <v>4221737</v>
      </c>
      <c r="C728" s="35" t="s">
        <v>6469</v>
      </c>
      <c r="D728" s="29" t="s">
        <v>724</v>
      </c>
      <c r="E728" s="1" t="s">
        <v>3847</v>
      </c>
      <c r="F728" s="1" t="s">
        <v>431</v>
      </c>
      <c r="G728" s="4" t="s">
        <v>5645</v>
      </c>
      <c r="H728" s="4" t="s">
        <v>5721</v>
      </c>
      <c r="I728" s="4" t="s">
        <v>5706</v>
      </c>
      <c r="J728" s="2">
        <v>34007</v>
      </c>
      <c r="K728" s="1" t="s">
        <v>19</v>
      </c>
      <c r="L728" s="1" t="s">
        <v>20</v>
      </c>
      <c r="M728" s="1" t="s">
        <v>3848</v>
      </c>
      <c r="N728" s="1" t="s">
        <v>3849</v>
      </c>
      <c r="O728" s="1" t="s">
        <v>23</v>
      </c>
      <c r="P728" s="1" t="s">
        <v>3850</v>
      </c>
      <c r="Q728" s="1">
        <f>31-646740302</f>
        <v>-646740271</v>
      </c>
      <c r="R728" s="1">
        <v>2013</v>
      </c>
    </row>
    <row r="729" spans="1:20" ht="15" customHeight="1" x14ac:dyDescent="0.25">
      <c r="A729" s="4" t="s">
        <v>15</v>
      </c>
      <c r="B729" s="1">
        <v>4281853</v>
      </c>
      <c r="C729" s="35" t="s">
        <v>6540</v>
      </c>
      <c r="D729" s="29" t="s">
        <v>6538</v>
      </c>
      <c r="E729" s="1" t="s">
        <v>6539</v>
      </c>
      <c r="F729" s="1" t="s">
        <v>5128</v>
      </c>
      <c r="G729" s="4" t="s">
        <v>5645</v>
      </c>
      <c r="H729" s="4" t="s">
        <v>5721</v>
      </c>
      <c r="I729" s="4" t="s">
        <v>5706</v>
      </c>
      <c r="J729" s="2"/>
      <c r="L729" s="1" t="s">
        <v>111</v>
      </c>
      <c r="R729" s="1">
        <v>2013</v>
      </c>
      <c r="S729" s="1" t="s">
        <v>5236</v>
      </c>
    </row>
    <row r="730" spans="1:20" ht="15" customHeight="1" x14ac:dyDescent="0.25">
      <c r="A730" s="34" t="s">
        <v>15</v>
      </c>
      <c r="B730" s="1">
        <v>4232046</v>
      </c>
      <c r="C730" s="35" t="s">
        <v>6470</v>
      </c>
      <c r="D730" s="29" t="s">
        <v>3533</v>
      </c>
      <c r="E730" s="1" t="s">
        <v>3534</v>
      </c>
      <c r="F730" s="1" t="s">
        <v>312</v>
      </c>
      <c r="G730" s="34" t="s">
        <v>5645</v>
      </c>
      <c r="H730" s="34" t="s">
        <v>5721</v>
      </c>
      <c r="I730" s="34" t="s">
        <v>5706</v>
      </c>
      <c r="J730" s="2">
        <v>34300</v>
      </c>
      <c r="K730" s="1" t="s">
        <v>19</v>
      </c>
      <c r="L730" s="1" t="s">
        <v>20</v>
      </c>
      <c r="M730" s="1" t="s">
        <v>3535</v>
      </c>
      <c r="N730" s="1" t="s">
        <v>398</v>
      </c>
      <c r="O730" s="1" t="s">
        <v>23</v>
      </c>
      <c r="P730" s="1" t="s">
        <v>3536</v>
      </c>
      <c r="Q730" s="1">
        <f>31-646385690</f>
        <v>-646385659</v>
      </c>
      <c r="R730" s="1">
        <v>2012</v>
      </c>
      <c r="S730" s="1" t="s">
        <v>88</v>
      </c>
    </row>
    <row r="731" spans="1:20" ht="15" customHeight="1" x14ac:dyDescent="0.25">
      <c r="A731" s="4" t="s">
        <v>15</v>
      </c>
      <c r="B731" s="1">
        <v>4250583</v>
      </c>
      <c r="C731" s="35" t="s">
        <v>6472</v>
      </c>
      <c r="D731" s="29" t="s">
        <v>3542</v>
      </c>
      <c r="E731" s="1" t="s">
        <v>3543</v>
      </c>
      <c r="F731" s="1" t="s">
        <v>3544</v>
      </c>
      <c r="G731" s="4" t="s">
        <v>5645</v>
      </c>
      <c r="H731" s="4" t="s">
        <v>5721</v>
      </c>
      <c r="I731" s="4" t="s">
        <v>5706</v>
      </c>
      <c r="J731" s="2">
        <v>33878</v>
      </c>
      <c r="K731" s="1" t="s">
        <v>19</v>
      </c>
      <c r="L731" s="1" t="s">
        <v>20</v>
      </c>
      <c r="M731" s="1" t="s">
        <v>3545</v>
      </c>
      <c r="N731" s="1" t="s">
        <v>3546</v>
      </c>
      <c r="O731" s="1" t="s">
        <v>23</v>
      </c>
      <c r="P731" s="1" t="s">
        <v>3547</v>
      </c>
      <c r="Q731" s="1">
        <f>31-645558281</f>
        <v>-645558250</v>
      </c>
      <c r="R731" s="1">
        <v>2012</v>
      </c>
      <c r="S731" s="1" t="s">
        <v>5227</v>
      </c>
    </row>
    <row r="732" spans="1:20" ht="15" customHeight="1" x14ac:dyDescent="0.25">
      <c r="A732" s="4" t="s">
        <v>15</v>
      </c>
      <c r="B732" s="1">
        <v>4271653</v>
      </c>
      <c r="C732" s="35" t="s">
        <v>6473</v>
      </c>
      <c r="D732" s="29" t="s">
        <v>3548</v>
      </c>
      <c r="E732" s="1" t="s">
        <v>3476</v>
      </c>
      <c r="F732" s="1" t="s">
        <v>3549</v>
      </c>
      <c r="G732" s="4" t="s">
        <v>5645</v>
      </c>
      <c r="H732" s="4" t="s">
        <v>5721</v>
      </c>
      <c r="I732" s="4" t="s">
        <v>5706</v>
      </c>
      <c r="J732" s="2">
        <v>34737</v>
      </c>
      <c r="K732" s="1" t="s">
        <v>19</v>
      </c>
      <c r="L732" s="1" t="s">
        <v>20</v>
      </c>
      <c r="M732" s="1" t="s">
        <v>3550</v>
      </c>
      <c r="N732" s="1" t="s">
        <v>3551</v>
      </c>
      <c r="O732" s="1" t="s">
        <v>23</v>
      </c>
      <c r="P732" s="1" t="s">
        <v>3552</v>
      </c>
      <c r="Q732" s="1">
        <f>31-646688787</f>
        <v>-646688756</v>
      </c>
      <c r="R732" s="1">
        <v>2013</v>
      </c>
    </row>
    <row r="733" spans="1:20" ht="15" customHeight="1" x14ac:dyDescent="0.25">
      <c r="A733" s="4" t="s">
        <v>15</v>
      </c>
      <c r="B733" s="1">
        <v>4308611</v>
      </c>
      <c r="C733" s="35" t="s">
        <v>6474</v>
      </c>
      <c r="D733" s="29" t="s">
        <v>3553</v>
      </c>
      <c r="E733" s="1" t="s">
        <v>3554</v>
      </c>
      <c r="F733" s="1" t="s">
        <v>3555</v>
      </c>
      <c r="G733" s="4" t="s">
        <v>5645</v>
      </c>
      <c r="H733" s="4" t="s">
        <v>5721</v>
      </c>
      <c r="I733" s="4" t="s">
        <v>5706</v>
      </c>
      <c r="J733" s="2">
        <v>34765</v>
      </c>
      <c r="K733" s="1" t="s">
        <v>19</v>
      </c>
      <c r="L733" s="1" t="s">
        <v>20</v>
      </c>
      <c r="M733" s="1" t="s">
        <v>3556</v>
      </c>
      <c r="N733" s="1" t="s">
        <v>3557</v>
      </c>
      <c r="O733" s="1" t="s">
        <v>23</v>
      </c>
      <c r="P733" s="1" t="s">
        <v>3558</v>
      </c>
      <c r="Q733" s="1">
        <f>31-641284796</f>
        <v>-641284765</v>
      </c>
      <c r="R733" s="1">
        <v>2013</v>
      </c>
    </row>
    <row r="734" spans="1:20" ht="15" customHeight="1" x14ac:dyDescent="0.25">
      <c r="A734" s="4" t="s">
        <v>15</v>
      </c>
      <c r="B734" s="1">
        <v>4226283</v>
      </c>
      <c r="C734" s="35" t="s">
        <v>6475</v>
      </c>
      <c r="D734" s="29" t="s">
        <v>3559</v>
      </c>
      <c r="E734" s="1" t="s">
        <v>3560</v>
      </c>
      <c r="F734" s="1" t="s">
        <v>678</v>
      </c>
      <c r="G734" s="4" t="s">
        <v>5645</v>
      </c>
      <c r="H734" s="4" t="s">
        <v>5721</v>
      </c>
      <c r="I734" s="4" t="s">
        <v>5706</v>
      </c>
      <c r="J734" s="2">
        <v>34160</v>
      </c>
      <c r="K734" s="1" t="s">
        <v>19</v>
      </c>
      <c r="L734" s="1" t="s">
        <v>20</v>
      </c>
      <c r="M734" s="1" t="s">
        <v>3561</v>
      </c>
      <c r="N734" s="1" t="s">
        <v>3562</v>
      </c>
      <c r="O734" s="1" t="s">
        <v>23</v>
      </c>
      <c r="P734" s="1" t="s">
        <v>3563</v>
      </c>
      <c r="Q734" s="1">
        <f>31-652627671</f>
        <v>-652627640</v>
      </c>
      <c r="R734" s="1">
        <v>2013</v>
      </c>
    </row>
    <row r="735" spans="1:20" ht="15" customHeight="1" x14ac:dyDescent="0.25">
      <c r="A735" s="4" t="s">
        <v>15</v>
      </c>
      <c r="B735" s="1">
        <v>4291395</v>
      </c>
      <c r="C735" s="35" t="s">
        <v>6476</v>
      </c>
      <c r="D735" s="29" t="s">
        <v>3564</v>
      </c>
      <c r="E735" s="1" t="s">
        <v>3565</v>
      </c>
      <c r="F735" s="1" t="s">
        <v>191</v>
      </c>
      <c r="G735" s="4" t="s">
        <v>5646</v>
      </c>
      <c r="H735" s="4" t="s">
        <v>5721</v>
      </c>
      <c r="I735" s="4" t="s">
        <v>5706</v>
      </c>
      <c r="J735" s="2">
        <v>34742</v>
      </c>
      <c r="K735" s="1" t="s">
        <v>19</v>
      </c>
      <c r="L735" s="1" t="s">
        <v>20</v>
      </c>
      <c r="M735" s="1" t="s">
        <v>3566</v>
      </c>
      <c r="N735" s="1" t="s">
        <v>3567</v>
      </c>
      <c r="O735" s="1" t="s">
        <v>23</v>
      </c>
      <c r="P735" s="1" t="s">
        <v>3568</v>
      </c>
      <c r="Q735" s="1">
        <f>31-615629939</f>
        <v>-615629908</v>
      </c>
      <c r="R735" s="1">
        <v>2013</v>
      </c>
    </row>
    <row r="736" spans="1:20" ht="15" customHeight="1" x14ac:dyDescent="0.25">
      <c r="A736" s="4" t="s">
        <v>15</v>
      </c>
      <c r="B736" s="1">
        <v>4302575</v>
      </c>
      <c r="C736" s="35" t="s">
        <v>6477</v>
      </c>
      <c r="D736" s="29" t="s">
        <v>3569</v>
      </c>
      <c r="E736" s="1" t="s">
        <v>3570</v>
      </c>
      <c r="F736" s="1" t="s">
        <v>3571</v>
      </c>
      <c r="G736" s="4" t="s">
        <v>5646</v>
      </c>
      <c r="H736" s="4" t="s">
        <v>5721</v>
      </c>
      <c r="I736" s="4" t="s">
        <v>5706</v>
      </c>
      <c r="J736" s="2">
        <v>34811</v>
      </c>
      <c r="K736" s="1" t="s">
        <v>19</v>
      </c>
      <c r="L736" s="1" t="s">
        <v>20</v>
      </c>
      <c r="M736" s="1" t="s">
        <v>3572</v>
      </c>
      <c r="N736" s="1" t="s">
        <v>3573</v>
      </c>
      <c r="O736" s="1" t="s">
        <v>23</v>
      </c>
      <c r="P736" s="1" t="s">
        <v>3574</v>
      </c>
      <c r="Q736" s="1">
        <f>31-623248813</f>
        <v>-623248782</v>
      </c>
      <c r="R736" s="1">
        <v>2013</v>
      </c>
    </row>
    <row r="737" spans="1:19" ht="15" customHeight="1" x14ac:dyDescent="0.25">
      <c r="A737" s="4" t="s">
        <v>15</v>
      </c>
      <c r="B737" s="1">
        <v>4130251</v>
      </c>
      <c r="C737" s="35" t="s">
        <v>6478</v>
      </c>
      <c r="D737" s="29" t="s">
        <v>5246</v>
      </c>
      <c r="E737" s="1" t="s">
        <v>5247</v>
      </c>
      <c r="F737" s="1" t="s">
        <v>5248</v>
      </c>
      <c r="G737" s="4" t="s">
        <v>5646</v>
      </c>
      <c r="H737" s="4" t="s">
        <v>5721</v>
      </c>
      <c r="I737" s="4" t="s">
        <v>5706</v>
      </c>
      <c r="J737" s="2">
        <v>33302</v>
      </c>
      <c r="K737" s="1" t="s">
        <v>19</v>
      </c>
      <c r="L737" s="1" t="s">
        <v>20</v>
      </c>
      <c r="R737" s="1">
        <v>2010</v>
      </c>
      <c r="S737" s="1" t="s">
        <v>5249</v>
      </c>
    </row>
    <row r="738" spans="1:19" ht="15" customHeight="1" x14ac:dyDescent="0.25">
      <c r="A738" s="4" t="s">
        <v>15</v>
      </c>
      <c r="B738" s="1">
        <v>4304519</v>
      </c>
      <c r="C738" s="35" t="s">
        <v>6479</v>
      </c>
      <c r="D738" s="29" t="s">
        <v>3575</v>
      </c>
      <c r="E738" s="1" t="s">
        <v>3576</v>
      </c>
      <c r="F738" s="1" t="s">
        <v>384</v>
      </c>
      <c r="G738" s="4" t="s">
        <v>5646</v>
      </c>
      <c r="H738" s="4" t="s">
        <v>5721</v>
      </c>
      <c r="I738" s="4" t="s">
        <v>5706</v>
      </c>
      <c r="J738" s="2">
        <v>34922</v>
      </c>
      <c r="K738" s="1" t="s">
        <v>19</v>
      </c>
      <c r="L738" s="1" t="s">
        <v>20</v>
      </c>
      <c r="M738" s="1" t="s">
        <v>3577</v>
      </c>
      <c r="N738" s="1" t="s">
        <v>3578</v>
      </c>
      <c r="O738" s="1" t="s">
        <v>23</v>
      </c>
      <c r="P738" s="1" t="s">
        <v>3579</v>
      </c>
      <c r="Q738" s="1">
        <f>31-652209831</f>
        <v>-652209800</v>
      </c>
      <c r="R738" s="1">
        <v>2013</v>
      </c>
    </row>
    <row r="739" spans="1:19" ht="15" customHeight="1" x14ac:dyDescent="0.25">
      <c r="A739" s="4" t="s">
        <v>15</v>
      </c>
      <c r="B739" s="1">
        <v>4305639</v>
      </c>
      <c r="C739" s="35" t="s">
        <v>6480</v>
      </c>
      <c r="D739" s="29" t="s">
        <v>3580</v>
      </c>
      <c r="E739" s="1" t="s">
        <v>3581</v>
      </c>
      <c r="F739" s="1" t="s">
        <v>928</v>
      </c>
      <c r="G739" s="4" t="s">
        <v>5646</v>
      </c>
      <c r="H739" s="4" t="s">
        <v>5721</v>
      </c>
      <c r="I739" s="4" t="s">
        <v>5706</v>
      </c>
      <c r="J739" s="2">
        <v>34636</v>
      </c>
      <c r="K739" s="1" t="s">
        <v>19</v>
      </c>
      <c r="L739" s="1" t="s">
        <v>20</v>
      </c>
      <c r="M739" s="1" t="s">
        <v>3582</v>
      </c>
      <c r="N739" s="1" t="s">
        <v>3583</v>
      </c>
      <c r="O739" s="1" t="s">
        <v>23</v>
      </c>
      <c r="P739" s="1" t="s">
        <v>3584</v>
      </c>
      <c r="Q739" s="1">
        <f>31-616929773</f>
        <v>-616929742</v>
      </c>
      <c r="R739" s="1">
        <v>2013</v>
      </c>
    </row>
    <row r="740" spans="1:19" ht="15" customHeight="1" x14ac:dyDescent="0.25">
      <c r="A740" s="4" t="s">
        <v>15</v>
      </c>
      <c r="B740" s="1">
        <v>4322665</v>
      </c>
      <c r="C740" s="35" t="s">
        <v>6481</v>
      </c>
      <c r="D740" s="29" t="s">
        <v>3585</v>
      </c>
      <c r="E740" s="1" t="s">
        <v>3586</v>
      </c>
      <c r="F740" s="1" t="s">
        <v>1753</v>
      </c>
      <c r="G740" s="4" t="s">
        <v>5646</v>
      </c>
      <c r="H740" s="4" t="s">
        <v>5721</v>
      </c>
      <c r="I740" s="4" t="s">
        <v>5706</v>
      </c>
      <c r="J740" s="2">
        <v>34582</v>
      </c>
      <c r="K740" s="1" t="s">
        <v>19</v>
      </c>
      <c r="L740" s="1" t="s">
        <v>20</v>
      </c>
      <c r="M740" s="1" t="s">
        <v>3587</v>
      </c>
      <c r="N740" s="1" t="s">
        <v>3588</v>
      </c>
      <c r="O740" s="1" t="s">
        <v>23</v>
      </c>
      <c r="P740" s="1" t="s">
        <v>3589</v>
      </c>
      <c r="Q740" s="1">
        <f>31-651702648</f>
        <v>-651702617</v>
      </c>
      <c r="R740" s="1">
        <v>2013</v>
      </c>
    </row>
    <row r="741" spans="1:19" ht="15" customHeight="1" x14ac:dyDescent="0.25">
      <c r="A741" s="4" t="s">
        <v>15</v>
      </c>
      <c r="B741" s="1">
        <v>4321782</v>
      </c>
      <c r="C741" s="35" t="s">
        <v>6482</v>
      </c>
      <c r="D741" s="29" t="s">
        <v>4902</v>
      </c>
      <c r="E741" s="1" t="s">
        <v>4903</v>
      </c>
      <c r="F741" s="1" t="s">
        <v>414</v>
      </c>
      <c r="G741" s="4" t="s">
        <v>5646</v>
      </c>
      <c r="H741" s="4" t="s">
        <v>5721</v>
      </c>
      <c r="I741" s="4" t="s">
        <v>5706</v>
      </c>
      <c r="J741" s="2">
        <v>34915</v>
      </c>
      <c r="K741" s="1" t="s">
        <v>19</v>
      </c>
      <c r="L741" s="1" t="s">
        <v>20</v>
      </c>
      <c r="M741" s="1" t="s">
        <v>4904</v>
      </c>
      <c r="N741" s="1" t="s">
        <v>4905</v>
      </c>
      <c r="O741" s="1" t="s">
        <v>23</v>
      </c>
      <c r="P741" s="1" t="s">
        <v>4906</v>
      </c>
      <c r="Q741" s="1">
        <f>31-621261292</f>
        <v>-621261261</v>
      </c>
      <c r="R741" s="1">
        <v>2013</v>
      </c>
    </row>
    <row r="742" spans="1:19" ht="15" customHeight="1" x14ac:dyDescent="0.25">
      <c r="A742" s="4" t="s">
        <v>15</v>
      </c>
      <c r="B742" s="1">
        <v>4307259</v>
      </c>
      <c r="C742" s="35" t="s">
        <v>6483</v>
      </c>
      <c r="D742" s="29" t="s">
        <v>3590</v>
      </c>
      <c r="E742" s="1" t="s">
        <v>3591</v>
      </c>
      <c r="F742" s="1" t="s">
        <v>3592</v>
      </c>
      <c r="G742" s="4" t="s">
        <v>5646</v>
      </c>
      <c r="H742" s="4" t="s">
        <v>5721</v>
      </c>
      <c r="I742" s="4" t="s">
        <v>5706</v>
      </c>
      <c r="J742" s="2">
        <v>34855</v>
      </c>
      <c r="K742" s="1" t="s">
        <v>19</v>
      </c>
      <c r="L742" s="1" t="s">
        <v>111</v>
      </c>
      <c r="M742" s="1" t="s">
        <v>3593</v>
      </c>
      <c r="N742" s="1" t="s">
        <v>3594</v>
      </c>
      <c r="O742" s="1" t="s">
        <v>23</v>
      </c>
      <c r="P742" s="1" t="s">
        <v>3595</v>
      </c>
      <c r="Q742" s="1">
        <f>31-648650604</f>
        <v>-648650573</v>
      </c>
      <c r="R742" s="1">
        <v>2013</v>
      </c>
    </row>
    <row r="743" spans="1:19" ht="15" customHeight="1" x14ac:dyDescent="0.25">
      <c r="A743" s="4" t="s">
        <v>15</v>
      </c>
      <c r="B743" s="1">
        <v>4309650</v>
      </c>
      <c r="C743" s="35" t="s">
        <v>6484</v>
      </c>
      <c r="D743" s="29" t="s">
        <v>3596</v>
      </c>
      <c r="E743" s="1" t="s">
        <v>3597</v>
      </c>
      <c r="F743" s="1" t="s">
        <v>2792</v>
      </c>
      <c r="G743" s="34" t="s">
        <v>5647</v>
      </c>
      <c r="H743" s="4" t="s">
        <v>5721</v>
      </c>
      <c r="I743" s="4" t="s">
        <v>5707</v>
      </c>
      <c r="J743" s="2">
        <v>34743</v>
      </c>
      <c r="K743" s="1" t="s">
        <v>19</v>
      </c>
      <c r="L743" s="1" t="s">
        <v>20</v>
      </c>
      <c r="M743" s="1" t="s">
        <v>3598</v>
      </c>
      <c r="N743" s="1" t="s">
        <v>3599</v>
      </c>
      <c r="O743" s="1" t="s">
        <v>23</v>
      </c>
      <c r="P743" s="1" t="s">
        <v>3600</v>
      </c>
      <c r="Q743" s="1">
        <f>31-615641896</f>
        <v>-615641865</v>
      </c>
      <c r="R743" s="1">
        <v>2013</v>
      </c>
    </row>
    <row r="744" spans="1:19" ht="15" customHeight="1" x14ac:dyDescent="0.25">
      <c r="A744" s="4" t="s">
        <v>15</v>
      </c>
      <c r="B744" s="1">
        <v>4297784</v>
      </c>
      <c r="C744" s="35" t="s">
        <v>6485</v>
      </c>
      <c r="D744" s="29" t="s">
        <v>3601</v>
      </c>
      <c r="E744" s="1" t="s">
        <v>3602</v>
      </c>
      <c r="F744" s="1" t="s">
        <v>28</v>
      </c>
      <c r="G744" s="4" t="s">
        <v>5647</v>
      </c>
      <c r="H744" s="4" t="s">
        <v>5721</v>
      </c>
      <c r="I744" s="4" t="s">
        <v>5707</v>
      </c>
      <c r="J744" s="2">
        <v>34982</v>
      </c>
      <c r="K744" s="1" t="s">
        <v>19</v>
      </c>
      <c r="L744" s="1" t="s">
        <v>20</v>
      </c>
      <c r="M744" s="1" t="s">
        <v>3603</v>
      </c>
      <c r="N744" s="1" t="s">
        <v>3604</v>
      </c>
      <c r="O744" s="1" t="s">
        <v>23</v>
      </c>
      <c r="P744" s="1" t="s">
        <v>3605</v>
      </c>
      <c r="Q744" s="1">
        <f>31-625217691</f>
        <v>-625217660</v>
      </c>
      <c r="R744" s="1">
        <v>2013</v>
      </c>
    </row>
    <row r="745" spans="1:19" ht="15" customHeight="1" x14ac:dyDescent="0.25">
      <c r="A745" s="4" t="s">
        <v>15</v>
      </c>
      <c r="B745" s="1">
        <v>4305701</v>
      </c>
      <c r="C745" s="35" t="s">
        <v>6486</v>
      </c>
      <c r="D745" s="29" t="s">
        <v>3606</v>
      </c>
      <c r="E745" s="1" t="s">
        <v>3607</v>
      </c>
      <c r="F745" s="1" t="s">
        <v>3608</v>
      </c>
      <c r="G745" s="4" t="s">
        <v>5647</v>
      </c>
      <c r="H745" s="4" t="s">
        <v>5721</v>
      </c>
      <c r="I745" s="4" t="s">
        <v>5707</v>
      </c>
      <c r="J745" s="2">
        <v>33543</v>
      </c>
      <c r="K745" s="1" t="s">
        <v>3609</v>
      </c>
      <c r="L745" s="1" t="s">
        <v>20</v>
      </c>
      <c r="M745" s="1" t="s">
        <v>3610</v>
      </c>
      <c r="N745" s="1" t="s">
        <v>3611</v>
      </c>
      <c r="O745" s="1" t="s">
        <v>23</v>
      </c>
      <c r="P745" s="1" t="s">
        <v>3612</v>
      </c>
      <c r="Q745" s="1">
        <f>31-643113009</f>
        <v>-643112978</v>
      </c>
      <c r="R745" s="1">
        <v>2013</v>
      </c>
    </row>
    <row r="746" spans="1:19" ht="15" customHeight="1" x14ac:dyDescent="0.25">
      <c r="A746" s="4" t="s">
        <v>15</v>
      </c>
      <c r="B746" s="1">
        <v>4303792</v>
      </c>
      <c r="C746" s="35" t="s">
        <v>6487</v>
      </c>
      <c r="D746" s="29" t="s">
        <v>1056</v>
      </c>
      <c r="E746" s="1" t="s">
        <v>3627</v>
      </c>
      <c r="F746" s="1" t="s">
        <v>3628</v>
      </c>
      <c r="G746" s="4" t="s">
        <v>5647</v>
      </c>
      <c r="H746" s="4" t="s">
        <v>5721</v>
      </c>
      <c r="I746" s="4" t="s">
        <v>5707</v>
      </c>
      <c r="J746" s="2">
        <v>34835</v>
      </c>
      <c r="K746" s="1" t="s">
        <v>19</v>
      </c>
      <c r="L746" s="1" t="s">
        <v>111</v>
      </c>
      <c r="M746" s="1" t="s">
        <v>3629</v>
      </c>
      <c r="N746" s="1" t="s">
        <v>3630</v>
      </c>
      <c r="O746" s="1" t="s">
        <v>23</v>
      </c>
      <c r="P746" s="1" t="s">
        <v>3631</v>
      </c>
      <c r="Q746" s="1">
        <f>31-622911393</f>
        <v>-622911362</v>
      </c>
      <c r="R746" s="1">
        <v>2013</v>
      </c>
    </row>
    <row r="747" spans="1:19" ht="15" customHeight="1" x14ac:dyDescent="0.25">
      <c r="A747" s="4" t="s">
        <v>15</v>
      </c>
      <c r="B747" s="1">
        <v>4315588</v>
      </c>
      <c r="C747" s="35" t="s">
        <v>6488</v>
      </c>
      <c r="D747" s="29" t="s">
        <v>3632</v>
      </c>
      <c r="E747" s="1" t="s">
        <v>3633</v>
      </c>
      <c r="F747" s="1" t="s">
        <v>3634</v>
      </c>
      <c r="G747" s="4" t="s">
        <v>5647</v>
      </c>
      <c r="H747" s="4" t="s">
        <v>5721</v>
      </c>
      <c r="I747" s="4" t="s">
        <v>5707</v>
      </c>
      <c r="J747" s="2">
        <v>34605</v>
      </c>
      <c r="K747" s="1" t="s">
        <v>19</v>
      </c>
      <c r="L747" s="1" t="s">
        <v>111</v>
      </c>
      <c r="M747" s="1" t="s">
        <v>3635</v>
      </c>
      <c r="N747" s="1" t="s">
        <v>3636</v>
      </c>
      <c r="O747" s="1" t="s">
        <v>23</v>
      </c>
      <c r="P747" s="1" t="s">
        <v>3637</v>
      </c>
      <c r="Q747" s="1">
        <f>31-625227945</f>
        <v>-625227914</v>
      </c>
      <c r="R747" s="1">
        <v>2013</v>
      </c>
    </row>
    <row r="748" spans="1:19" ht="15" customHeight="1" x14ac:dyDescent="0.25">
      <c r="A748" s="4" t="s">
        <v>15</v>
      </c>
      <c r="B748" s="1">
        <v>4224329</v>
      </c>
      <c r="C748" s="35" t="s">
        <v>6489</v>
      </c>
      <c r="D748" s="29" t="s">
        <v>3613</v>
      </c>
      <c r="E748" s="1" t="s">
        <v>3614</v>
      </c>
      <c r="F748" s="1" t="s">
        <v>1442</v>
      </c>
      <c r="G748" s="4" t="s">
        <v>5647</v>
      </c>
      <c r="H748" s="4" t="s">
        <v>5721</v>
      </c>
      <c r="I748" s="4" t="s">
        <v>5707</v>
      </c>
      <c r="J748" s="2">
        <v>34491</v>
      </c>
      <c r="K748" s="1" t="s">
        <v>19</v>
      </c>
      <c r="L748" s="1" t="s">
        <v>20</v>
      </c>
      <c r="M748" s="1" t="s">
        <v>3615</v>
      </c>
      <c r="N748" s="1" t="s">
        <v>3616</v>
      </c>
      <c r="O748" s="1" t="s">
        <v>23</v>
      </c>
      <c r="P748" s="1" t="s">
        <v>3617</v>
      </c>
      <c r="Q748" s="1">
        <f>31-630417212</f>
        <v>-630417181</v>
      </c>
      <c r="R748" s="1">
        <v>2012</v>
      </c>
      <c r="S748" s="1" t="s">
        <v>88</v>
      </c>
    </row>
    <row r="749" spans="1:19" ht="15" customHeight="1" x14ac:dyDescent="0.25">
      <c r="A749" s="4" t="s">
        <v>15</v>
      </c>
      <c r="B749" s="1">
        <v>4315413</v>
      </c>
      <c r="C749" s="35" t="s">
        <v>6490</v>
      </c>
      <c r="D749" s="29" t="s">
        <v>1708</v>
      </c>
      <c r="E749" s="1" t="s">
        <v>3618</v>
      </c>
      <c r="F749" s="1" t="s">
        <v>2140</v>
      </c>
      <c r="G749" s="4" t="s">
        <v>5647</v>
      </c>
      <c r="H749" s="4" t="s">
        <v>5721</v>
      </c>
      <c r="I749" s="4" t="s">
        <v>5707</v>
      </c>
      <c r="J749" s="2">
        <v>34596</v>
      </c>
      <c r="K749" s="1" t="s">
        <v>19</v>
      </c>
      <c r="L749" s="1" t="s">
        <v>20</v>
      </c>
      <c r="M749" s="1" t="s">
        <v>3619</v>
      </c>
      <c r="N749" s="1" t="s">
        <v>3620</v>
      </c>
      <c r="O749" s="1" t="s">
        <v>23</v>
      </c>
      <c r="P749" s="1" t="s">
        <v>3621</v>
      </c>
      <c r="Q749" s="1">
        <f>31-641094632</f>
        <v>-641094601</v>
      </c>
      <c r="R749" s="1">
        <v>2013</v>
      </c>
    </row>
    <row r="750" spans="1:19" ht="15" customHeight="1" x14ac:dyDescent="0.25">
      <c r="A750" s="4" t="s">
        <v>15</v>
      </c>
      <c r="B750" s="1">
        <v>4302818</v>
      </c>
      <c r="C750" s="35" t="s">
        <v>6491</v>
      </c>
      <c r="D750" s="29" t="s">
        <v>3622</v>
      </c>
      <c r="E750" s="1" t="s">
        <v>3623</v>
      </c>
      <c r="F750" s="1" t="s">
        <v>2463</v>
      </c>
      <c r="G750" s="4" t="s">
        <v>5647</v>
      </c>
      <c r="H750" s="4" t="s">
        <v>5721</v>
      </c>
      <c r="I750" s="4" t="s">
        <v>5707</v>
      </c>
      <c r="J750" s="2">
        <v>34858</v>
      </c>
      <c r="K750" s="1" t="s">
        <v>19</v>
      </c>
      <c r="L750" s="1" t="s">
        <v>20</v>
      </c>
      <c r="M750" s="1" t="s">
        <v>3624</v>
      </c>
      <c r="N750" s="1" t="s">
        <v>3625</v>
      </c>
      <c r="O750" s="1" t="s">
        <v>23</v>
      </c>
      <c r="P750" s="1" t="s">
        <v>3626</v>
      </c>
      <c r="Q750" s="1">
        <f>31-630609012</f>
        <v>-630608981</v>
      </c>
      <c r="R750" s="1">
        <v>2013</v>
      </c>
    </row>
    <row r="751" spans="1:19" ht="15" customHeight="1" x14ac:dyDescent="0.25">
      <c r="A751" s="4" t="s">
        <v>15</v>
      </c>
      <c r="B751" s="1">
        <v>4314069</v>
      </c>
      <c r="C751" s="35" t="s">
        <v>6492</v>
      </c>
      <c r="D751" s="29" t="s">
        <v>207</v>
      </c>
      <c r="E751" s="1" t="s">
        <v>5020</v>
      </c>
      <c r="F751" s="1" t="s">
        <v>5021</v>
      </c>
      <c r="G751" s="4" t="s">
        <v>5648</v>
      </c>
      <c r="H751" s="4" t="s">
        <v>5721</v>
      </c>
      <c r="I751" s="4" t="s">
        <v>5707</v>
      </c>
      <c r="J751" s="2">
        <v>34914</v>
      </c>
      <c r="K751" s="1" t="s">
        <v>19</v>
      </c>
      <c r="L751" s="1" t="s">
        <v>111</v>
      </c>
      <c r="M751" s="1" t="s">
        <v>5022</v>
      </c>
      <c r="N751" s="1" t="s">
        <v>5023</v>
      </c>
      <c r="O751" s="1" t="s">
        <v>23</v>
      </c>
      <c r="P751" s="1" t="s">
        <v>5024</v>
      </c>
      <c r="Q751" s="1">
        <f>31-613703647</f>
        <v>-613703616</v>
      </c>
      <c r="R751" s="1">
        <v>2013</v>
      </c>
    </row>
    <row r="752" spans="1:19" ht="15" customHeight="1" x14ac:dyDescent="0.25">
      <c r="A752" s="4" t="s">
        <v>15</v>
      </c>
      <c r="B752" s="1">
        <v>4298470</v>
      </c>
      <c r="C752" s="35" t="s">
        <v>6493</v>
      </c>
      <c r="D752" s="29" t="s">
        <v>3638</v>
      </c>
      <c r="E752" s="1" t="s">
        <v>3639</v>
      </c>
      <c r="F752" s="1" t="s">
        <v>3640</v>
      </c>
      <c r="G752" s="4" t="s">
        <v>5648</v>
      </c>
      <c r="H752" s="4" t="s">
        <v>5721</v>
      </c>
      <c r="I752" s="4" t="s">
        <v>5707</v>
      </c>
      <c r="J752" s="2">
        <v>34935</v>
      </c>
      <c r="K752" s="1" t="s">
        <v>19</v>
      </c>
      <c r="L752" s="1" t="s">
        <v>20</v>
      </c>
      <c r="M752" s="1" t="s">
        <v>3641</v>
      </c>
      <c r="N752" s="1" t="s">
        <v>3642</v>
      </c>
      <c r="O752" s="1" t="s">
        <v>23</v>
      </c>
      <c r="P752" s="1" t="s">
        <v>3643</v>
      </c>
      <c r="Q752" s="1">
        <f>31-611168385</f>
        <v>-611168354</v>
      </c>
      <c r="R752" s="1">
        <v>2013</v>
      </c>
    </row>
    <row r="753" spans="1:19" ht="15" customHeight="1" x14ac:dyDescent="0.25">
      <c r="A753" s="4" t="s">
        <v>15</v>
      </c>
      <c r="B753" s="29">
        <v>4301641</v>
      </c>
      <c r="C753" s="35" t="s">
        <v>6494</v>
      </c>
      <c r="D753" s="29" t="s">
        <v>5093</v>
      </c>
      <c r="E753" s="1" t="s">
        <v>5094</v>
      </c>
      <c r="F753" s="1" t="s">
        <v>5095</v>
      </c>
      <c r="G753" s="4" t="s">
        <v>5648</v>
      </c>
      <c r="H753" s="4" t="s">
        <v>5721</v>
      </c>
      <c r="I753" s="4" t="s">
        <v>5707</v>
      </c>
      <c r="J753" s="2">
        <v>34474</v>
      </c>
      <c r="K753" s="1" t="s">
        <v>19</v>
      </c>
      <c r="L753" s="1" t="s">
        <v>111</v>
      </c>
      <c r="M753" s="1" t="s">
        <v>5096</v>
      </c>
      <c r="N753" s="1" t="s">
        <v>5097</v>
      </c>
      <c r="O753" s="1" t="s">
        <v>23</v>
      </c>
      <c r="P753" s="1" t="s">
        <v>5098</v>
      </c>
      <c r="Q753" s="1">
        <f>31-642027907</f>
        <v>-642027876</v>
      </c>
      <c r="R753" s="1">
        <v>2013</v>
      </c>
    </row>
    <row r="754" spans="1:19" ht="15" customHeight="1" x14ac:dyDescent="0.25">
      <c r="A754" s="4" t="s">
        <v>15</v>
      </c>
      <c r="B754" s="1">
        <v>4319001</v>
      </c>
      <c r="C754" s="35" t="s">
        <v>6495</v>
      </c>
      <c r="D754" s="29" t="s">
        <v>1874</v>
      </c>
      <c r="E754" s="1" t="s">
        <v>3650</v>
      </c>
      <c r="F754" s="1" t="s">
        <v>3651</v>
      </c>
      <c r="G754" s="4" t="s">
        <v>5648</v>
      </c>
      <c r="H754" s="4" t="s">
        <v>5721</v>
      </c>
      <c r="I754" s="4" t="s">
        <v>5707</v>
      </c>
      <c r="J754" s="2">
        <v>34789</v>
      </c>
      <c r="K754" s="1" t="s">
        <v>19</v>
      </c>
      <c r="L754" s="1" t="s">
        <v>20</v>
      </c>
      <c r="M754" s="1" t="s">
        <v>3652</v>
      </c>
      <c r="N754" s="1" t="s">
        <v>3653</v>
      </c>
      <c r="O754" s="1" t="s">
        <v>23</v>
      </c>
      <c r="P754" s="1" t="s">
        <v>3654</v>
      </c>
      <c r="Q754" s="1">
        <f>31-644900183</f>
        <v>-644900152</v>
      </c>
      <c r="R754" s="1">
        <v>2013</v>
      </c>
    </row>
    <row r="755" spans="1:19" ht="15" customHeight="1" x14ac:dyDescent="0.25">
      <c r="A755" s="4" t="s">
        <v>15</v>
      </c>
      <c r="B755" s="1">
        <v>4269594</v>
      </c>
      <c r="C755" s="35" t="s">
        <v>6496</v>
      </c>
      <c r="D755" s="29" t="s">
        <v>3660</v>
      </c>
      <c r="E755" s="1" t="s">
        <v>3661</v>
      </c>
      <c r="F755" s="1" t="s">
        <v>3662</v>
      </c>
      <c r="G755" s="4" t="s">
        <v>5648</v>
      </c>
      <c r="H755" s="4" t="s">
        <v>5721</v>
      </c>
      <c r="I755" s="4" t="s">
        <v>5707</v>
      </c>
      <c r="J755" s="2">
        <v>35269</v>
      </c>
      <c r="K755" s="1" t="s">
        <v>19</v>
      </c>
      <c r="L755" s="1" t="s">
        <v>20</v>
      </c>
      <c r="M755" s="1" t="s">
        <v>3663</v>
      </c>
      <c r="N755" s="1">
        <v>201206</v>
      </c>
      <c r="O755" s="1" t="s">
        <v>3664</v>
      </c>
      <c r="P755" s="1" t="s">
        <v>3665</v>
      </c>
      <c r="R755" s="1">
        <v>2013</v>
      </c>
    </row>
    <row r="756" spans="1:19" ht="15" customHeight="1" x14ac:dyDescent="0.25">
      <c r="A756" s="4" t="s">
        <v>15</v>
      </c>
      <c r="B756" s="1">
        <v>4276892</v>
      </c>
      <c r="C756" s="35" t="s">
        <v>6497</v>
      </c>
      <c r="D756" s="29" t="s">
        <v>3666</v>
      </c>
      <c r="E756" s="1" t="s">
        <v>3667</v>
      </c>
      <c r="F756" s="1" t="s">
        <v>218</v>
      </c>
      <c r="G756" s="4" t="s">
        <v>5648</v>
      </c>
      <c r="H756" s="4" t="s">
        <v>5721</v>
      </c>
      <c r="I756" s="4" t="s">
        <v>5707</v>
      </c>
      <c r="J756" s="2">
        <v>34902</v>
      </c>
      <c r="K756" s="1" t="s">
        <v>19</v>
      </c>
      <c r="L756" s="1" t="s">
        <v>20</v>
      </c>
      <c r="M756" s="1" t="s">
        <v>3668</v>
      </c>
      <c r="N756" s="1" t="s">
        <v>3669</v>
      </c>
      <c r="O756" s="1" t="s">
        <v>23</v>
      </c>
      <c r="P756" s="1" t="s">
        <v>3670</v>
      </c>
      <c r="Q756" s="1">
        <f>31-627658220</f>
        <v>-627658189</v>
      </c>
      <c r="R756" s="1">
        <v>2013</v>
      </c>
    </row>
    <row r="757" spans="1:19" ht="15" customHeight="1" x14ac:dyDescent="0.25">
      <c r="A757" s="4" t="s">
        <v>15</v>
      </c>
      <c r="B757" s="1">
        <v>4305817</v>
      </c>
      <c r="C757" s="35" t="s">
        <v>6498</v>
      </c>
      <c r="D757" s="29" t="s">
        <v>3671</v>
      </c>
      <c r="E757" s="1" t="s">
        <v>3672</v>
      </c>
      <c r="F757" s="1" t="s">
        <v>3428</v>
      </c>
      <c r="G757" s="4" t="s">
        <v>5648</v>
      </c>
      <c r="H757" s="4" t="s">
        <v>5721</v>
      </c>
      <c r="I757" s="4" t="s">
        <v>5707</v>
      </c>
      <c r="J757" s="2">
        <v>34816</v>
      </c>
      <c r="K757" s="1" t="s">
        <v>19</v>
      </c>
      <c r="L757" s="1" t="s">
        <v>20</v>
      </c>
      <c r="M757" s="1" t="s">
        <v>3673</v>
      </c>
      <c r="N757" s="1" t="s">
        <v>3674</v>
      </c>
      <c r="O757" s="1" t="s">
        <v>23</v>
      </c>
      <c r="P757" s="1" t="s">
        <v>3675</v>
      </c>
      <c r="Q757" s="1">
        <f>31-623293104</f>
        <v>-623293073</v>
      </c>
      <c r="R757" s="1">
        <v>2013</v>
      </c>
    </row>
    <row r="758" spans="1:19" ht="15" customHeight="1" x14ac:dyDescent="0.25">
      <c r="A758" s="4" t="s">
        <v>15</v>
      </c>
      <c r="B758" s="1">
        <v>4308204</v>
      </c>
      <c r="C758" s="35" t="s">
        <v>6499</v>
      </c>
      <c r="D758" s="29" t="s">
        <v>3606</v>
      </c>
      <c r="E758" s="1" t="s">
        <v>3676</v>
      </c>
      <c r="F758" s="1" t="s">
        <v>3677</v>
      </c>
      <c r="G758" s="4" t="s">
        <v>5649</v>
      </c>
      <c r="H758" s="4" t="s">
        <v>5721</v>
      </c>
      <c r="I758" s="4" t="s">
        <v>5708</v>
      </c>
      <c r="J758" s="2">
        <v>34118</v>
      </c>
      <c r="K758" s="1" t="s">
        <v>3609</v>
      </c>
      <c r="L758" s="1" t="s">
        <v>20</v>
      </c>
      <c r="M758" s="1" t="s">
        <v>3610</v>
      </c>
      <c r="N758" s="1" t="s">
        <v>3611</v>
      </c>
      <c r="O758" s="1" t="s">
        <v>23</v>
      </c>
      <c r="P758" s="1" t="s">
        <v>3678</v>
      </c>
      <c r="Q758" s="1">
        <f>31-642505457</f>
        <v>-642505426</v>
      </c>
      <c r="R758" s="1">
        <v>2013</v>
      </c>
    </row>
    <row r="759" spans="1:19" ht="15" customHeight="1" x14ac:dyDescent="0.25">
      <c r="A759" s="4" t="s">
        <v>15</v>
      </c>
      <c r="B759" s="1">
        <v>4281349</v>
      </c>
      <c r="C759" s="35" t="s">
        <v>6500</v>
      </c>
      <c r="D759" s="29" t="s">
        <v>3679</v>
      </c>
      <c r="E759" s="1" t="s">
        <v>3680</v>
      </c>
      <c r="F759" s="1" t="s">
        <v>2792</v>
      </c>
      <c r="G759" s="4" t="s">
        <v>5649</v>
      </c>
      <c r="H759" s="4" t="s">
        <v>5721</v>
      </c>
      <c r="I759" s="4" t="s">
        <v>5708</v>
      </c>
      <c r="J759" s="2">
        <v>34769</v>
      </c>
      <c r="K759" s="1" t="s">
        <v>19</v>
      </c>
      <c r="L759" s="1" t="s">
        <v>20</v>
      </c>
      <c r="M759" s="1" t="s">
        <v>3681</v>
      </c>
      <c r="N759" s="1" t="s">
        <v>3682</v>
      </c>
      <c r="O759" s="1" t="s">
        <v>23</v>
      </c>
      <c r="P759" s="1" t="s">
        <v>3683</v>
      </c>
      <c r="Q759" s="1">
        <f>31-681804543</f>
        <v>-681804512</v>
      </c>
      <c r="R759" s="1">
        <v>2013</v>
      </c>
    </row>
    <row r="760" spans="1:19" ht="15" customHeight="1" x14ac:dyDescent="0.25">
      <c r="A760" s="4" t="s">
        <v>15</v>
      </c>
      <c r="B760" s="1">
        <v>4313453</v>
      </c>
      <c r="C760" s="35" t="s">
        <v>6501</v>
      </c>
      <c r="D760" s="29" t="s">
        <v>3684</v>
      </c>
      <c r="E760" s="1" t="s">
        <v>3685</v>
      </c>
      <c r="F760" s="1" t="s">
        <v>3686</v>
      </c>
      <c r="G760" s="4" t="s">
        <v>5649</v>
      </c>
      <c r="H760" s="4" t="s">
        <v>5721</v>
      </c>
      <c r="I760" s="4" t="s">
        <v>5708</v>
      </c>
      <c r="J760" s="2">
        <v>34903</v>
      </c>
      <c r="K760" s="1" t="s">
        <v>19</v>
      </c>
      <c r="L760" s="1" t="s">
        <v>20</v>
      </c>
      <c r="M760" s="1" t="s">
        <v>3687</v>
      </c>
      <c r="N760" s="1" t="s">
        <v>3688</v>
      </c>
      <c r="O760" s="1" t="s">
        <v>23</v>
      </c>
      <c r="P760" s="1" t="s">
        <v>3689</v>
      </c>
      <c r="Q760" s="1">
        <f>31-681442113</f>
        <v>-681442082</v>
      </c>
      <c r="R760" s="1">
        <v>2013</v>
      </c>
    </row>
    <row r="761" spans="1:19" ht="15" customHeight="1" x14ac:dyDescent="0.25">
      <c r="A761" s="4" t="s">
        <v>15</v>
      </c>
      <c r="B761" s="1">
        <v>4315871</v>
      </c>
      <c r="C761" s="35" t="s">
        <v>6502</v>
      </c>
      <c r="D761" s="29" t="s">
        <v>3690</v>
      </c>
      <c r="E761" s="1" t="s">
        <v>3691</v>
      </c>
      <c r="F761" s="1" t="s">
        <v>1413</v>
      </c>
      <c r="G761" s="4" t="s">
        <v>5649</v>
      </c>
      <c r="H761" s="4" t="s">
        <v>5721</v>
      </c>
      <c r="I761" s="4" t="s">
        <v>5708</v>
      </c>
      <c r="J761" s="2">
        <v>34946</v>
      </c>
      <c r="K761" s="1" t="s">
        <v>19</v>
      </c>
      <c r="L761" s="1" t="s">
        <v>20</v>
      </c>
      <c r="M761" s="1" t="s">
        <v>3692</v>
      </c>
      <c r="N761" s="1" t="s">
        <v>3693</v>
      </c>
      <c r="O761" s="1" t="s">
        <v>23</v>
      </c>
      <c r="P761" s="1" t="s">
        <v>3694</v>
      </c>
      <c r="Q761" s="1">
        <f>31-634279707</f>
        <v>-634279676</v>
      </c>
      <c r="R761" s="1">
        <v>2013</v>
      </c>
    </row>
    <row r="762" spans="1:19" ht="15" customHeight="1" x14ac:dyDescent="0.25">
      <c r="A762" s="4" t="s">
        <v>15</v>
      </c>
      <c r="B762" s="1">
        <v>4291468</v>
      </c>
      <c r="C762" s="35" t="s">
        <v>6503</v>
      </c>
      <c r="D762" s="29" t="s">
        <v>3722</v>
      </c>
      <c r="E762" s="1" t="s">
        <v>3723</v>
      </c>
      <c r="F762" s="1" t="s">
        <v>3724</v>
      </c>
      <c r="G762" s="4" t="s">
        <v>5649</v>
      </c>
      <c r="H762" s="4" t="s">
        <v>5721</v>
      </c>
      <c r="I762" s="4" t="s">
        <v>5708</v>
      </c>
      <c r="J762" s="2">
        <v>34575</v>
      </c>
      <c r="K762" s="1" t="s">
        <v>19</v>
      </c>
      <c r="L762" s="1" t="s">
        <v>20</v>
      </c>
      <c r="M762" s="1" t="s">
        <v>3725</v>
      </c>
      <c r="N762" s="1" t="s">
        <v>3726</v>
      </c>
      <c r="O762" s="1" t="s">
        <v>23</v>
      </c>
      <c r="P762" s="1" t="s">
        <v>3727</v>
      </c>
      <c r="Q762" s="1">
        <f>31-682049255</f>
        <v>-682049224</v>
      </c>
      <c r="R762" s="1">
        <v>2013</v>
      </c>
    </row>
    <row r="763" spans="1:19" ht="15" customHeight="1" x14ac:dyDescent="0.25">
      <c r="A763" s="4" t="s">
        <v>15</v>
      </c>
      <c r="B763" s="1">
        <v>4309618</v>
      </c>
      <c r="C763" s="35" t="s">
        <v>6504</v>
      </c>
      <c r="D763" s="29" t="s">
        <v>4591</v>
      </c>
      <c r="E763" s="1" t="s">
        <v>4592</v>
      </c>
      <c r="F763" s="1" t="s">
        <v>342</v>
      </c>
      <c r="G763" s="4" t="s">
        <v>5649</v>
      </c>
      <c r="H763" s="4" t="s">
        <v>5721</v>
      </c>
      <c r="I763" s="4" t="s">
        <v>5708</v>
      </c>
      <c r="J763" s="2">
        <v>34170</v>
      </c>
      <c r="K763" s="1" t="s">
        <v>19</v>
      </c>
      <c r="L763" s="1" t="s">
        <v>20</v>
      </c>
      <c r="M763" s="1" t="s">
        <v>4593</v>
      </c>
      <c r="N763" s="1" t="s">
        <v>4594</v>
      </c>
      <c r="O763" s="1" t="s">
        <v>23</v>
      </c>
      <c r="P763" s="1" t="s">
        <v>4595</v>
      </c>
      <c r="Q763" s="1">
        <f>31-641045856</f>
        <v>-641045825</v>
      </c>
      <c r="R763" s="1">
        <v>2013</v>
      </c>
    </row>
    <row r="764" spans="1:19" ht="15" customHeight="1" x14ac:dyDescent="0.25">
      <c r="A764" s="4" t="s">
        <v>15</v>
      </c>
      <c r="B764" s="1">
        <v>4240855</v>
      </c>
      <c r="C764" s="35" t="s">
        <v>6505</v>
      </c>
      <c r="D764" s="29" t="s">
        <v>1035</v>
      </c>
      <c r="E764" s="1" t="s">
        <v>3744</v>
      </c>
      <c r="F764" s="1" t="s">
        <v>209</v>
      </c>
      <c r="G764" s="4" t="s">
        <v>5649</v>
      </c>
      <c r="H764" s="4" t="s">
        <v>5721</v>
      </c>
      <c r="I764" s="4" t="s">
        <v>5708</v>
      </c>
      <c r="J764" s="2">
        <v>34537</v>
      </c>
      <c r="K764" s="1" t="s">
        <v>19</v>
      </c>
      <c r="L764" s="1" t="s">
        <v>20</v>
      </c>
      <c r="M764" s="1" t="s">
        <v>3745</v>
      </c>
      <c r="N764" s="1" t="s">
        <v>3746</v>
      </c>
      <c r="O764" s="1" t="s">
        <v>23</v>
      </c>
      <c r="P764" s="1" t="s">
        <v>3747</v>
      </c>
      <c r="Q764" s="1">
        <f>31-621718738</f>
        <v>-621718707</v>
      </c>
      <c r="R764" s="1">
        <v>2013</v>
      </c>
    </row>
    <row r="765" spans="1:19" ht="15" customHeight="1" x14ac:dyDescent="0.25">
      <c r="A765" s="4" t="s">
        <v>15</v>
      </c>
      <c r="B765" s="1">
        <v>4312163</v>
      </c>
      <c r="C765" s="35" t="s">
        <v>6506</v>
      </c>
      <c r="D765" s="29" t="s">
        <v>465</v>
      </c>
      <c r="E765" s="1" t="s">
        <v>3695</v>
      </c>
      <c r="F765" s="1" t="s">
        <v>3696</v>
      </c>
      <c r="G765" s="4" t="s">
        <v>5649</v>
      </c>
      <c r="H765" s="4" t="s">
        <v>5721</v>
      </c>
      <c r="I765" s="4" t="s">
        <v>5708</v>
      </c>
      <c r="J765" s="2">
        <v>35116</v>
      </c>
      <c r="K765" s="1" t="s">
        <v>19</v>
      </c>
      <c r="L765" s="1" t="s">
        <v>20</v>
      </c>
      <c r="M765" s="1" t="s">
        <v>3697</v>
      </c>
      <c r="N765" s="1" t="s">
        <v>3698</v>
      </c>
      <c r="O765" s="1" t="s">
        <v>23</v>
      </c>
      <c r="P765" s="1" t="s">
        <v>3699</v>
      </c>
      <c r="Q765" s="1">
        <f>31-631582731</f>
        <v>-631582700</v>
      </c>
      <c r="R765" s="1">
        <v>2013</v>
      </c>
    </row>
    <row r="766" spans="1:19" ht="15" customHeight="1" x14ac:dyDescent="0.25">
      <c r="A766" s="4" t="s">
        <v>15</v>
      </c>
      <c r="B766" s="1">
        <v>4283708</v>
      </c>
      <c r="C766" s="35" t="s">
        <v>6507</v>
      </c>
      <c r="D766" s="29" t="s">
        <v>4933</v>
      </c>
      <c r="E766" s="1" t="s">
        <v>4934</v>
      </c>
      <c r="F766" s="1" t="s">
        <v>4935</v>
      </c>
      <c r="G766" s="4" t="s">
        <v>5649</v>
      </c>
      <c r="H766" s="4" t="s">
        <v>5721</v>
      </c>
      <c r="I766" s="4" t="s">
        <v>5708</v>
      </c>
      <c r="J766" s="2">
        <v>34566</v>
      </c>
      <c r="K766" s="1" t="s">
        <v>19</v>
      </c>
      <c r="L766" s="1" t="s">
        <v>20</v>
      </c>
      <c r="M766" s="1" t="s">
        <v>4936</v>
      </c>
      <c r="N766" s="1" t="s">
        <v>4937</v>
      </c>
      <c r="O766" s="1" t="s">
        <v>23</v>
      </c>
      <c r="P766" s="1" t="s">
        <v>4938</v>
      </c>
      <c r="Q766" s="1">
        <f>31-610071330</f>
        <v>-610071299</v>
      </c>
      <c r="R766" s="1">
        <v>2013</v>
      </c>
    </row>
    <row r="767" spans="1:19" ht="15" customHeight="1" x14ac:dyDescent="0.25">
      <c r="A767" s="4" t="s">
        <v>15</v>
      </c>
      <c r="B767" s="1">
        <v>4306236</v>
      </c>
      <c r="C767" s="35" t="s">
        <v>6508</v>
      </c>
      <c r="D767" s="29" t="s">
        <v>3700</v>
      </c>
      <c r="E767" s="1" t="s">
        <v>3701</v>
      </c>
      <c r="F767" s="1" t="s">
        <v>3702</v>
      </c>
      <c r="G767" s="4" t="s">
        <v>5650</v>
      </c>
      <c r="H767" s="4" t="s">
        <v>5721</v>
      </c>
      <c r="I767" s="4" t="s">
        <v>5708</v>
      </c>
      <c r="J767" s="2">
        <v>34887</v>
      </c>
      <c r="K767" s="1" t="s">
        <v>19</v>
      </c>
      <c r="L767" s="1" t="s">
        <v>20</v>
      </c>
      <c r="M767" s="1" t="s">
        <v>3703</v>
      </c>
      <c r="N767" s="1" t="s">
        <v>3704</v>
      </c>
      <c r="O767" s="1" t="s">
        <v>23</v>
      </c>
      <c r="P767" s="1" t="s">
        <v>3705</v>
      </c>
      <c r="Q767" s="1">
        <f>31-630491183</f>
        <v>-630491152</v>
      </c>
      <c r="R767" s="1">
        <v>2013</v>
      </c>
    </row>
    <row r="768" spans="1:19" ht="15" customHeight="1" x14ac:dyDescent="0.25">
      <c r="A768" s="4" t="s">
        <v>15</v>
      </c>
      <c r="B768" s="1">
        <v>4225643</v>
      </c>
      <c r="C768" s="35" t="s">
        <v>6509</v>
      </c>
      <c r="D768" s="29" t="s">
        <v>3706</v>
      </c>
      <c r="E768" s="1" t="s">
        <v>3707</v>
      </c>
      <c r="F768" s="1" t="s">
        <v>425</v>
      </c>
      <c r="G768" s="4" t="s">
        <v>5650</v>
      </c>
      <c r="H768" s="4" t="s">
        <v>5721</v>
      </c>
      <c r="I768" s="4" t="s">
        <v>5708</v>
      </c>
      <c r="J768" s="2">
        <v>34064</v>
      </c>
      <c r="K768" s="1" t="s">
        <v>19</v>
      </c>
      <c r="L768" s="1" t="s">
        <v>20</v>
      </c>
      <c r="M768" s="1" t="s">
        <v>3708</v>
      </c>
      <c r="N768" s="1" t="s">
        <v>3709</v>
      </c>
      <c r="O768" s="1" t="s">
        <v>23</v>
      </c>
      <c r="P768" s="1" t="s">
        <v>3710</v>
      </c>
      <c r="Q768" s="1">
        <f>31-683032712</f>
        <v>-683032681</v>
      </c>
      <c r="R768" s="1">
        <v>2012</v>
      </c>
      <c r="S768" s="1" t="s">
        <v>115</v>
      </c>
    </row>
    <row r="769" spans="1:18" ht="15" customHeight="1" x14ac:dyDescent="0.25">
      <c r="A769" s="4" t="s">
        <v>15</v>
      </c>
      <c r="B769" s="1">
        <v>4238958</v>
      </c>
      <c r="C769" s="35" t="s">
        <v>6510</v>
      </c>
      <c r="D769" s="29" t="s">
        <v>3711</v>
      </c>
      <c r="E769" s="1" t="s">
        <v>3712</v>
      </c>
      <c r="F769" s="1" t="s">
        <v>3713</v>
      </c>
      <c r="G769" s="4" t="s">
        <v>5650</v>
      </c>
      <c r="H769" s="4" t="s">
        <v>5721</v>
      </c>
      <c r="I769" s="4" t="s">
        <v>5708</v>
      </c>
      <c r="J769" s="2">
        <v>33770</v>
      </c>
      <c r="K769" s="1" t="s">
        <v>19</v>
      </c>
      <c r="L769" s="1" t="s">
        <v>20</v>
      </c>
      <c r="M769" s="1" t="s">
        <v>3714</v>
      </c>
      <c r="N769" s="1" t="s">
        <v>3715</v>
      </c>
      <c r="O769" s="1" t="s">
        <v>23</v>
      </c>
      <c r="P769" s="1" t="s">
        <v>3716</v>
      </c>
      <c r="Q769" s="1">
        <f>31-641719614</f>
        <v>-641719583</v>
      </c>
      <c r="R769" s="1">
        <v>2013</v>
      </c>
    </row>
    <row r="770" spans="1:18" ht="15" customHeight="1" x14ac:dyDescent="0.25">
      <c r="A770" s="4" t="s">
        <v>15</v>
      </c>
      <c r="B770" s="1">
        <v>4331796</v>
      </c>
      <c r="C770" s="35" t="s">
        <v>6511</v>
      </c>
      <c r="D770" s="29" t="s">
        <v>3717</v>
      </c>
      <c r="E770" s="1" t="s">
        <v>3718</v>
      </c>
      <c r="F770" s="1" t="s">
        <v>900</v>
      </c>
      <c r="G770" s="4" t="s">
        <v>5650</v>
      </c>
      <c r="H770" s="4" t="s">
        <v>5721</v>
      </c>
      <c r="I770" s="4" t="s">
        <v>5708</v>
      </c>
      <c r="J770" s="2">
        <v>34883</v>
      </c>
      <c r="K770" s="1" t="s">
        <v>19</v>
      </c>
      <c r="L770" s="1" t="s">
        <v>20</v>
      </c>
      <c r="M770" s="1" t="s">
        <v>3719</v>
      </c>
      <c r="N770" s="1" t="s">
        <v>3720</v>
      </c>
      <c r="O770" s="1" t="s">
        <v>23</v>
      </c>
      <c r="P770" s="1" t="s">
        <v>3721</v>
      </c>
      <c r="Q770" s="1">
        <f>31-622732227</f>
        <v>-622732196</v>
      </c>
      <c r="R770" s="1">
        <v>2013</v>
      </c>
    </row>
    <row r="771" spans="1:18" ht="15" customHeight="1" x14ac:dyDescent="0.25">
      <c r="A771" s="30" t="s">
        <v>15</v>
      </c>
      <c r="B771" s="1">
        <v>4288394</v>
      </c>
      <c r="C771" s="35" t="s">
        <v>6512</v>
      </c>
      <c r="D771" s="29" t="s">
        <v>3728</v>
      </c>
      <c r="E771" s="1" t="s">
        <v>3729</v>
      </c>
      <c r="F771" s="1" t="s">
        <v>3428</v>
      </c>
      <c r="G771" s="30" t="s">
        <v>5650</v>
      </c>
      <c r="H771" s="30" t="s">
        <v>5721</v>
      </c>
      <c r="I771" s="30" t="s">
        <v>5708</v>
      </c>
      <c r="J771" s="2">
        <v>34580</v>
      </c>
      <c r="K771" s="1" t="s">
        <v>19</v>
      </c>
      <c r="L771" s="1" t="s">
        <v>20</v>
      </c>
      <c r="M771" s="1" t="s">
        <v>3730</v>
      </c>
      <c r="N771" s="1" t="s">
        <v>3731</v>
      </c>
      <c r="O771" s="1" t="s">
        <v>23</v>
      </c>
      <c r="P771" s="1" t="s">
        <v>3732</v>
      </c>
      <c r="Q771" s="1">
        <f>31-634193672</f>
        <v>-634193641</v>
      </c>
      <c r="R771" s="1">
        <v>2013</v>
      </c>
    </row>
    <row r="772" spans="1:18" ht="15" customHeight="1" x14ac:dyDescent="0.25">
      <c r="A772" s="33" t="s">
        <v>15</v>
      </c>
      <c r="B772" s="1">
        <v>4298942</v>
      </c>
      <c r="C772" s="35" t="s">
        <v>6513</v>
      </c>
      <c r="D772" s="29" t="s">
        <v>3733</v>
      </c>
      <c r="E772" s="1" t="s">
        <v>3734</v>
      </c>
      <c r="F772" s="1" t="s">
        <v>425</v>
      </c>
      <c r="G772" s="33" t="s">
        <v>5650</v>
      </c>
      <c r="H772" s="33" t="s">
        <v>5721</v>
      </c>
      <c r="I772" s="33" t="s">
        <v>5708</v>
      </c>
      <c r="J772" s="2">
        <v>34798</v>
      </c>
      <c r="K772" s="1" t="s">
        <v>19</v>
      </c>
      <c r="L772" s="1" t="s">
        <v>20</v>
      </c>
      <c r="M772" s="1" t="s">
        <v>3735</v>
      </c>
      <c r="N772" s="1" t="s">
        <v>3736</v>
      </c>
      <c r="O772" s="1" t="s">
        <v>23</v>
      </c>
      <c r="P772" s="1" t="s">
        <v>3737</v>
      </c>
      <c r="Q772" s="1">
        <f>31-614323155</f>
        <v>-614323124</v>
      </c>
      <c r="R772" s="1">
        <v>2013</v>
      </c>
    </row>
    <row r="773" spans="1:18" x14ac:dyDescent="0.25">
      <c r="A773" s="34" t="s">
        <v>15</v>
      </c>
      <c r="B773" s="1">
        <v>4324234</v>
      </c>
      <c r="C773" s="35" t="s">
        <v>6514</v>
      </c>
      <c r="D773" s="29" t="s">
        <v>3738</v>
      </c>
      <c r="E773" s="1" t="s">
        <v>3739</v>
      </c>
      <c r="F773" s="1" t="s">
        <v>3740</v>
      </c>
      <c r="G773" s="34" t="s">
        <v>5650</v>
      </c>
      <c r="H773" s="34" t="s">
        <v>5721</v>
      </c>
      <c r="I773" s="34" t="s">
        <v>5708</v>
      </c>
      <c r="J773" s="2">
        <v>34925</v>
      </c>
      <c r="K773" s="1" t="s">
        <v>19</v>
      </c>
      <c r="L773" s="1" t="s">
        <v>20</v>
      </c>
      <c r="M773" s="1" t="s">
        <v>3741</v>
      </c>
      <c r="N773" s="1" t="s">
        <v>3742</v>
      </c>
      <c r="O773" s="1" t="s">
        <v>23</v>
      </c>
      <c r="P773" s="1" t="s">
        <v>3743</v>
      </c>
      <c r="Q773" s="1">
        <f>31-634196224</f>
        <v>-634196193</v>
      </c>
      <c r="R773" s="1">
        <v>2013</v>
      </c>
    </row>
  </sheetData>
  <autoFilter ref="A1:T957">
    <sortState ref="A2:U981">
      <sortCondition ref="A2:A981"/>
      <sortCondition ref="H2:H981"/>
      <sortCondition ref="E2:E981"/>
    </sortState>
  </autoFilter>
  <sortState ref="A2:T773">
    <sortCondition ref="A2:A773"/>
    <sortCondition ref="G2:G773"/>
    <sortCondition ref="D2:D773"/>
  </sortState>
  <hyperlinks>
    <hyperlink ref="P329" r:id="rId1"/>
    <hyperlink ref="P650" r:id="rId2"/>
  </hyperlinks>
  <pageMargins left="0.11811023622047245" right="0.11811023622047245" top="0.15748031496062992" bottom="0.15748031496062992" header="0.31496062992125984" footer="0.31496062992125984"/>
  <pageSetup paperSize="9" scale="5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85546875" bestFit="1" customWidth="1"/>
    <col min="2" max="2" width="8" bestFit="1" customWidth="1"/>
    <col min="3" max="3" width="24.5703125" customWidth="1"/>
    <col min="4" max="4" width="27.28515625" customWidth="1"/>
    <col min="5" max="5" width="15.140625" bestFit="1" customWidth="1"/>
    <col min="6" max="6" width="7" bestFit="1" customWidth="1"/>
    <col min="7" max="7" width="20" bestFit="1" customWidth="1"/>
    <col min="8" max="8" width="8.7109375" bestFit="1" customWidth="1"/>
    <col min="9" max="9" width="11.5703125" bestFit="1" customWidth="1"/>
    <col min="10" max="10" width="15.5703125" bestFit="1" customWidth="1"/>
    <col min="11" max="11" width="4.85546875" bestFit="1" customWidth="1"/>
    <col min="12" max="12" width="27.85546875" bestFit="1" customWidth="1"/>
    <col min="13" max="13" width="34" bestFit="1" customWidth="1"/>
    <col min="14" max="14" width="16.5703125" customWidth="1"/>
    <col min="15" max="15" width="40.5703125" bestFit="1" customWidth="1"/>
    <col min="16" max="16" width="11.7109375" bestFit="1" customWidth="1"/>
    <col min="17" max="17" width="10.42578125" bestFit="1" customWidth="1"/>
    <col min="18" max="18" width="14.7109375" bestFit="1" customWidth="1"/>
    <col min="19" max="19" width="14.42578125" bestFit="1" customWidth="1"/>
  </cols>
  <sheetData>
    <row r="1" spans="1:19" s="1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5712</v>
      </c>
      <c r="H1" s="8" t="s">
        <v>5660</v>
      </c>
      <c r="I1" s="8" t="s">
        <v>6</v>
      </c>
      <c r="J1" s="8" t="s">
        <v>5241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  <c r="P1" s="8" t="s">
        <v>12</v>
      </c>
      <c r="Q1" s="8" t="s">
        <v>13</v>
      </c>
      <c r="R1" s="8" t="s">
        <v>5240</v>
      </c>
      <c r="S1" s="8" t="s">
        <v>14</v>
      </c>
    </row>
    <row r="2" spans="1:19" s="1" customFormat="1" x14ac:dyDescent="0.25">
      <c r="A2" s="1" t="s">
        <v>45</v>
      </c>
      <c r="B2" s="1">
        <v>4279611</v>
      </c>
      <c r="C2" s="29" t="s">
        <v>5211</v>
      </c>
      <c r="D2" s="1" t="s">
        <v>5003</v>
      </c>
      <c r="E2" s="1" t="s">
        <v>1146</v>
      </c>
      <c r="I2" s="1" t="s">
        <v>5004</v>
      </c>
      <c r="J2" s="1" t="s">
        <v>19</v>
      </c>
      <c r="K2" s="1" t="s">
        <v>20</v>
      </c>
      <c r="L2" s="1" t="s">
        <v>5005</v>
      </c>
      <c r="M2" s="1" t="s">
        <v>5006</v>
      </c>
      <c r="N2" s="1" t="s">
        <v>23</v>
      </c>
      <c r="O2" s="1" t="s">
        <v>5007</v>
      </c>
      <c r="P2" s="1">
        <f>31-624551891</f>
        <v>-624551860</v>
      </c>
      <c r="Q2" s="1">
        <v>2013</v>
      </c>
    </row>
    <row r="3" spans="1:19" s="1" customFormat="1" x14ac:dyDescent="0.25">
      <c r="A3" s="1" t="s">
        <v>15</v>
      </c>
      <c r="B3" s="1">
        <v>4312864</v>
      </c>
      <c r="C3" s="1" t="s">
        <v>3771</v>
      </c>
      <c r="D3" s="1" t="s">
        <v>3772</v>
      </c>
      <c r="E3" s="1" t="s">
        <v>3773</v>
      </c>
      <c r="I3" s="2">
        <v>34535</v>
      </c>
      <c r="J3" s="1" t="s">
        <v>19</v>
      </c>
      <c r="K3" s="1" t="s">
        <v>20</v>
      </c>
      <c r="L3" s="1" t="s">
        <v>3774</v>
      </c>
      <c r="M3" s="1" t="s">
        <v>3775</v>
      </c>
      <c r="N3" s="1" t="s">
        <v>23</v>
      </c>
      <c r="O3" s="1" t="s">
        <v>3776</v>
      </c>
      <c r="P3" s="1">
        <f>31-619420216</f>
        <v>-619420185</v>
      </c>
      <c r="Q3" s="1">
        <v>2013</v>
      </c>
    </row>
    <row r="4" spans="1:19" s="1" customFormat="1" x14ac:dyDescent="0.25">
      <c r="A4" s="1" t="s">
        <v>15</v>
      </c>
      <c r="B4" s="1">
        <v>4335848</v>
      </c>
      <c r="C4" s="1" t="s">
        <v>3777</v>
      </c>
      <c r="D4" s="1" t="s">
        <v>3778</v>
      </c>
      <c r="E4" s="1" t="s">
        <v>3779</v>
      </c>
      <c r="I4" s="2">
        <v>34545</v>
      </c>
      <c r="J4" s="1" t="s">
        <v>3780</v>
      </c>
      <c r="K4" s="1" t="s">
        <v>20</v>
      </c>
      <c r="L4" s="1" t="s">
        <v>3781</v>
      </c>
      <c r="M4" s="1" t="s">
        <v>3782</v>
      </c>
      <c r="N4" s="1" t="s">
        <v>3783</v>
      </c>
      <c r="O4" s="1" t="s">
        <v>3784</v>
      </c>
      <c r="P4" s="1">
        <f>966-500872042</f>
        <v>-500871076</v>
      </c>
      <c r="Q4" s="1">
        <v>2013</v>
      </c>
    </row>
    <row r="5" spans="1:19" s="1" customFormat="1" x14ac:dyDescent="0.25">
      <c r="A5" s="1" t="s">
        <v>15</v>
      </c>
      <c r="B5" s="1">
        <v>4295595</v>
      </c>
      <c r="C5" s="1" t="s">
        <v>3785</v>
      </c>
      <c r="D5" s="1" t="s">
        <v>3786</v>
      </c>
      <c r="E5" s="1" t="s">
        <v>3787</v>
      </c>
      <c r="I5" s="2">
        <v>34810</v>
      </c>
      <c r="J5" s="1" t="s">
        <v>3788</v>
      </c>
      <c r="K5" s="1" t="s">
        <v>20</v>
      </c>
      <c r="L5" s="1" t="s">
        <v>3789</v>
      </c>
      <c r="M5" s="1" t="s">
        <v>3790</v>
      </c>
      <c r="N5" s="1" t="s">
        <v>23</v>
      </c>
      <c r="O5" s="1" t="s">
        <v>3791</v>
      </c>
      <c r="P5" s="1">
        <f>31-624153846</f>
        <v>-624153815</v>
      </c>
      <c r="Q5" s="1">
        <v>2013</v>
      </c>
    </row>
    <row r="6" spans="1:19" s="1" customFormat="1" x14ac:dyDescent="0.25">
      <c r="A6" s="1" t="s">
        <v>15</v>
      </c>
      <c r="B6" s="1">
        <v>4271092</v>
      </c>
      <c r="C6" s="1" t="s">
        <v>3792</v>
      </c>
      <c r="D6" s="1" t="s">
        <v>3793</v>
      </c>
      <c r="E6" s="1" t="s">
        <v>3794</v>
      </c>
      <c r="I6" s="2">
        <v>34869</v>
      </c>
      <c r="J6" s="1" t="s">
        <v>19</v>
      </c>
      <c r="K6" s="1" t="s">
        <v>20</v>
      </c>
      <c r="L6" s="1" t="s">
        <v>3795</v>
      </c>
      <c r="M6" s="1" t="s">
        <v>3796</v>
      </c>
      <c r="N6" s="1" t="s">
        <v>23</v>
      </c>
      <c r="O6" s="1" t="s">
        <v>3797</v>
      </c>
      <c r="P6" s="1">
        <f>31-651068972</f>
        <v>-651068941</v>
      </c>
      <c r="Q6" s="1">
        <v>2013</v>
      </c>
    </row>
    <row r="7" spans="1:19" s="1" customFormat="1" x14ac:dyDescent="0.25">
      <c r="A7" s="1" t="s">
        <v>15</v>
      </c>
      <c r="B7" s="1">
        <v>4305280</v>
      </c>
      <c r="C7" s="1" t="s">
        <v>3798</v>
      </c>
      <c r="D7" s="1" t="s">
        <v>3799</v>
      </c>
      <c r="E7" s="1" t="s">
        <v>54</v>
      </c>
      <c r="I7" s="2">
        <v>34686</v>
      </c>
      <c r="J7" s="1" t="s">
        <v>19</v>
      </c>
      <c r="K7" s="1" t="s">
        <v>20</v>
      </c>
      <c r="L7" s="1" t="s">
        <v>3800</v>
      </c>
      <c r="M7" s="1" t="s">
        <v>3801</v>
      </c>
      <c r="N7" s="1" t="s">
        <v>23</v>
      </c>
      <c r="O7" s="1" t="s">
        <v>3802</v>
      </c>
      <c r="P7" s="1">
        <f>31-650814094</f>
        <v>-650814063</v>
      </c>
      <c r="Q7" s="1">
        <v>2013</v>
      </c>
    </row>
    <row r="8" spans="1:19" s="1" customFormat="1" x14ac:dyDescent="0.25">
      <c r="A8" s="1" t="s">
        <v>15</v>
      </c>
      <c r="B8" s="1">
        <v>4259688</v>
      </c>
      <c r="C8" s="1" t="s">
        <v>3809</v>
      </c>
      <c r="D8" s="1" t="s">
        <v>3810</v>
      </c>
      <c r="E8" s="1" t="s">
        <v>3811</v>
      </c>
      <c r="I8" s="2">
        <v>33485</v>
      </c>
      <c r="J8" s="1" t="s">
        <v>19</v>
      </c>
      <c r="K8" s="1" t="s">
        <v>20</v>
      </c>
      <c r="L8" s="1" t="s">
        <v>3812</v>
      </c>
      <c r="M8" s="1" t="s">
        <v>3813</v>
      </c>
      <c r="N8" s="1" t="s">
        <v>23</v>
      </c>
      <c r="O8" s="1" t="s">
        <v>3814</v>
      </c>
      <c r="P8" s="1">
        <f>31-626805384</f>
        <v>-626805353</v>
      </c>
      <c r="Q8" s="1">
        <v>2012</v>
      </c>
    </row>
    <row r="9" spans="1:19" s="1" customFormat="1" x14ac:dyDescent="0.25">
      <c r="A9" s="1" t="s">
        <v>15</v>
      </c>
      <c r="B9" s="1">
        <v>4324854</v>
      </c>
      <c r="C9" s="1" t="s">
        <v>3815</v>
      </c>
      <c r="D9" s="1" t="s">
        <v>3816</v>
      </c>
      <c r="E9" s="1" t="s">
        <v>3817</v>
      </c>
      <c r="I9" s="2">
        <v>34542</v>
      </c>
      <c r="J9" s="1" t="s">
        <v>19</v>
      </c>
      <c r="K9" s="1" t="s">
        <v>20</v>
      </c>
      <c r="L9" s="1" t="s">
        <v>3818</v>
      </c>
      <c r="M9" s="1" t="s">
        <v>3819</v>
      </c>
      <c r="N9" s="1" t="s">
        <v>23</v>
      </c>
      <c r="O9" s="1" t="s">
        <v>3820</v>
      </c>
      <c r="P9" s="1">
        <f>31-611710954</f>
        <v>-611710923</v>
      </c>
      <c r="Q9" s="1">
        <v>2013</v>
      </c>
    </row>
    <row r="10" spans="1:19" s="1" customFormat="1" x14ac:dyDescent="0.25">
      <c r="A10" s="1" t="s">
        <v>45</v>
      </c>
      <c r="B10" s="1">
        <v>4292103</v>
      </c>
      <c r="C10" s="29" t="s">
        <v>3821</v>
      </c>
      <c r="D10" s="1" t="s">
        <v>3822</v>
      </c>
      <c r="E10" s="1" t="s">
        <v>3823</v>
      </c>
      <c r="I10" s="2">
        <v>34650</v>
      </c>
      <c r="J10" s="1" t="s">
        <v>19</v>
      </c>
      <c r="K10" s="1" t="s">
        <v>20</v>
      </c>
      <c r="L10" s="1" t="s">
        <v>3824</v>
      </c>
      <c r="M10" s="1" t="s">
        <v>3825</v>
      </c>
      <c r="N10" s="1" t="s">
        <v>23</v>
      </c>
      <c r="O10" s="1" t="s">
        <v>3826</v>
      </c>
      <c r="P10" s="1">
        <f>31-683553467</f>
        <v>-683553436</v>
      </c>
      <c r="Q10" s="1">
        <v>2013</v>
      </c>
    </row>
    <row r="11" spans="1:19" s="1" customFormat="1" x14ac:dyDescent="0.25">
      <c r="A11" s="1" t="s">
        <v>15</v>
      </c>
      <c r="B11" s="1">
        <v>4297563</v>
      </c>
      <c r="C11" s="1" t="s">
        <v>3821</v>
      </c>
      <c r="D11" s="1" t="s">
        <v>3827</v>
      </c>
      <c r="E11" s="1" t="s">
        <v>845</v>
      </c>
      <c r="I11" s="2">
        <v>34737</v>
      </c>
      <c r="J11" s="1" t="s">
        <v>19</v>
      </c>
      <c r="K11" s="1" t="s">
        <v>20</v>
      </c>
      <c r="L11" s="1" t="s">
        <v>3828</v>
      </c>
      <c r="M11" s="1" t="s">
        <v>3829</v>
      </c>
      <c r="N11" s="1" t="s">
        <v>23</v>
      </c>
      <c r="O11" s="1" t="s">
        <v>3830</v>
      </c>
      <c r="P11" s="1">
        <f>31-623093154</f>
        <v>-623093123</v>
      </c>
      <c r="Q11" s="1">
        <v>2013</v>
      </c>
    </row>
    <row r="12" spans="1:19" s="1" customFormat="1" x14ac:dyDescent="0.25">
      <c r="A12" s="1" t="s">
        <v>15</v>
      </c>
      <c r="B12" s="1">
        <v>4307798</v>
      </c>
      <c r="C12" s="1" t="s">
        <v>3831</v>
      </c>
      <c r="D12" s="1" t="s">
        <v>3832</v>
      </c>
      <c r="E12" s="1" t="s">
        <v>3833</v>
      </c>
      <c r="I12" s="2">
        <v>34824</v>
      </c>
      <c r="J12" s="1" t="s">
        <v>19</v>
      </c>
      <c r="K12" s="1" t="s">
        <v>20</v>
      </c>
      <c r="L12" s="1" t="s">
        <v>3834</v>
      </c>
      <c r="M12" s="1" t="s">
        <v>3835</v>
      </c>
      <c r="N12" s="1" t="s">
        <v>23</v>
      </c>
      <c r="O12" s="1" t="s">
        <v>3836</v>
      </c>
      <c r="P12" s="1">
        <f>31-627623694</f>
        <v>-627623663</v>
      </c>
      <c r="Q12" s="1">
        <v>2013</v>
      </c>
    </row>
    <row r="13" spans="1:19" s="1" customFormat="1" x14ac:dyDescent="0.25">
      <c r="A13" s="1" t="s">
        <v>15</v>
      </c>
      <c r="B13" s="1">
        <v>4240472</v>
      </c>
      <c r="C13" s="1" t="s">
        <v>3842</v>
      </c>
      <c r="D13" s="1" t="s">
        <v>3843</v>
      </c>
      <c r="E13" s="1" t="s">
        <v>242</v>
      </c>
      <c r="I13" s="2">
        <v>34460</v>
      </c>
      <c r="J13" s="1" t="s">
        <v>19</v>
      </c>
      <c r="K13" s="1" t="s">
        <v>20</v>
      </c>
      <c r="L13" s="1" t="s">
        <v>3844</v>
      </c>
      <c r="M13" s="1" t="s">
        <v>3845</v>
      </c>
      <c r="N13" s="1" t="s">
        <v>23</v>
      </c>
      <c r="O13" s="1" t="s">
        <v>3846</v>
      </c>
      <c r="P13" s="1">
        <f>31-642222408</f>
        <v>-642222377</v>
      </c>
      <c r="Q13" s="1">
        <v>2012</v>
      </c>
    </row>
    <row r="14" spans="1:19" s="1" customFormat="1" x14ac:dyDescent="0.25">
      <c r="A14" s="1" t="s">
        <v>45</v>
      </c>
      <c r="B14" s="1">
        <v>4298772</v>
      </c>
      <c r="C14" s="29" t="s">
        <v>3856</v>
      </c>
      <c r="D14" s="1" t="s">
        <v>3857</v>
      </c>
      <c r="E14" s="1" t="s">
        <v>3858</v>
      </c>
      <c r="I14" s="2">
        <v>34708</v>
      </c>
      <c r="J14" s="1" t="s">
        <v>19</v>
      </c>
      <c r="K14" s="1" t="s">
        <v>20</v>
      </c>
      <c r="L14" s="1" t="s">
        <v>3859</v>
      </c>
      <c r="M14" s="1" t="s">
        <v>3860</v>
      </c>
      <c r="N14" s="1" t="s">
        <v>23</v>
      </c>
      <c r="O14" s="1" t="s">
        <v>3861</v>
      </c>
      <c r="Q14" s="1">
        <v>2013</v>
      </c>
    </row>
    <row r="15" spans="1:19" s="1" customFormat="1" x14ac:dyDescent="0.25">
      <c r="A15" s="1" t="s">
        <v>15</v>
      </c>
      <c r="B15" s="1">
        <v>4300203</v>
      </c>
      <c r="C15" s="1" t="s">
        <v>5008</v>
      </c>
      <c r="D15" s="1" t="s">
        <v>5009</v>
      </c>
      <c r="E15" s="1" t="s">
        <v>5010</v>
      </c>
      <c r="I15" s="2">
        <v>34721</v>
      </c>
      <c r="J15" s="1" t="s">
        <v>19</v>
      </c>
      <c r="K15" s="1" t="s">
        <v>111</v>
      </c>
      <c r="L15" s="1" t="s">
        <v>5011</v>
      </c>
      <c r="M15" s="1" t="s">
        <v>5012</v>
      </c>
      <c r="N15" s="1" t="s">
        <v>23</v>
      </c>
      <c r="O15" s="1" t="s">
        <v>5013</v>
      </c>
      <c r="P15" s="1">
        <f>31-630403939</f>
        <v>-630403908</v>
      </c>
      <c r="Q15" s="1">
        <v>2013</v>
      </c>
    </row>
    <row r="16" spans="1:19" s="1" customFormat="1" x14ac:dyDescent="0.25">
      <c r="A16" s="1" t="s">
        <v>15</v>
      </c>
      <c r="B16" s="1">
        <v>4294238</v>
      </c>
      <c r="C16" s="1" t="s">
        <v>3871</v>
      </c>
      <c r="D16" s="1" t="s">
        <v>3872</v>
      </c>
      <c r="E16" s="1" t="s">
        <v>3873</v>
      </c>
      <c r="I16" s="2">
        <v>34324</v>
      </c>
      <c r="J16" s="1" t="s">
        <v>19</v>
      </c>
      <c r="K16" s="1" t="s">
        <v>20</v>
      </c>
      <c r="L16" s="1" t="s">
        <v>3874</v>
      </c>
      <c r="M16" s="1" t="s">
        <v>3875</v>
      </c>
      <c r="N16" s="1" t="s">
        <v>3876</v>
      </c>
      <c r="O16" s="1" t="s">
        <v>3877</v>
      </c>
      <c r="P16" s="1">
        <f>1-7576526661</f>
        <v>-7576526660</v>
      </c>
      <c r="Q16" s="1">
        <v>2013</v>
      </c>
    </row>
    <row r="17" spans="1:17" s="1" customFormat="1" x14ac:dyDescent="0.25">
      <c r="A17" s="1" t="s">
        <v>15</v>
      </c>
      <c r="B17" s="1">
        <v>4300408</v>
      </c>
      <c r="C17" s="1" t="s">
        <v>5014</v>
      </c>
      <c r="D17" s="1" t="s">
        <v>5015</v>
      </c>
      <c r="E17" s="1" t="s">
        <v>5016</v>
      </c>
      <c r="I17" s="2">
        <v>35263</v>
      </c>
      <c r="J17" s="1" t="s">
        <v>19</v>
      </c>
      <c r="K17" s="1" t="s">
        <v>111</v>
      </c>
      <c r="L17" s="1" t="s">
        <v>5017</v>
      </c>
      <c r="M17" s="1" t="s">
        <v>5018</v>
      </c>
      <c r="N17" s="1" t="s">
        <v>23</v>
      </c>
      <c r="O17" s="1" t="s">
        <v>5019</v>
      </c>
      <c r="Q17" s="1">
        <v>2013</v>
      </c>
    </row>
    <row r="18" spans="1:17" s="1" customFormat="1" x14ac:dyDescent="0.25">
      <c r="A18" s="1" t="s">
        <v>15</v>
      </c>
      <c r="B18" s="1">
        <v>4317688</v>
      </c>
      <c r="C18" s="1" t="s">
        <v>3878</v>
      </c>
      <c r="D18" s="1" t="s">
        <v>3879</v>
      </c>
      <c r="E18" s="1" t="s">
        <v>3880</v>
      </c>
      <c r="I18" s="2">
        <v>34769</v>
      </c>
      <c r="J18" s="1" t="s">
        <v>19</v>
      </c>
      <c r="K18" s="1" t="s">
        <v>20</v>
      </c>
      <c r="L18" s="1" t="s">
        <v>3881</v>
      </c>
      <c r="M18" s="1" t="s">
        <v>3882</v>
      </c>
      <c r="N18" s="1" t="s">
        <v>23</v>
      </c>
      <c r="O18" s="1" t="s">
        <v>3883</v>
      </c>
      <c r="P18" s="1">
        <f>31-621503650</f>
        <v>-621503619</v>
      </c>
      <c r="Q18" s="1">
        <v>2013</v>
      </c>
    </row>
    <row r="19" spans="1:17" s="1" customFormat="1" x14ac:dyDescent="0.25">
      <c r="A19" s="1" t="s">
        <v>15</v>
      </c>
      <c r="B19" s="1">
        <v>4268598</v>
      </c>
      <c r="C19" s="1" t="s">
        <v>3884</v>
      </c>
      <c r="D19" s="1" t="s">
        <v>3885</v>
      </c>
      <c r="E19" s="1" t="s">
        <v>1413</v>
      </c>
      <c r="I19" s="2">
        <v>34357</v>
      </c>
      <c r="J19" s="1" t="s">
        <v>19</v>
      </c>
      <c r="K19" s="1" t="s">
        <v>20</v>
      </c>
      <c r="L19" s="1" t="s">
        <v>3886</v>
      </c>
      <c r="M19" s="1" t="s">
        <v>3887</v>
      </c>
      <c r="N19" s="1" t="s">
        <v>23</v>
      </c>
      <c r="O19" s="1" t="s">
        <v>3888</v>
      </c>
      <c r="P19" s="1">
        <f>31-631762154</f>
        <v>-631762123</v>
      </c>
      <c r="Q19" s="1">
        <v>2013</v>
      </c>
    </row>
    <row r="20" spans="1:17" s="1" customFormat="1" x14ac:dyDescent="0.25">
      <c r="A20" s="29" t="s">
        <v>15</v>
      </c>
      <c r="B20" s="1">
        <v>4291476</v>
      </c>
      <c r="C20" s="29" t="s">
        <v>1493</v>
      </c>
      <c r="D20" s="1" t="s">
        <v>1687</v>
      </c>
      <c r="E20" s="1" t="s">
        <v>1688</v>
      </c>
      <c r="F20" s="29"/>
      <c r="G20" s="29"/>
      <c r="H20" s="29"/>
      <c r="I20" s="2">
        <v>34585</v>
      </c>
      <c r="J20" s="1" t="s">
        <v>19</v>
      </c>
      <c r="K20" s="1" t="s">
        <v>20</v>
      </c>
      <c r="L20" s="1" t="s">
        <v>1689</v>
      </c>
      <c r="M20" s="1" t="s">
        <v>1690</v>
      </c>
      <c r="N20" s="1" t="s">
        <v>23</v>
      </c>
      <c r="O20" s="1" t="s">
        <v>3764</v>
      </c>
      <c r="P20" s="1">
        <f>31-634536653</f>
        <v>-634536622</v>
      </c>
      <c r="Q20" s="1">
        <v>2013</v>
      </c>
    </row>
    <row r="21" spans="1:17" s="1" customFormat="1" x14ac:dyDescent="0.25">
      <c r="A21" s="1" t="s">
        <v>15</v>
      </c>
      <c r="B21" s="1">
        <v>4205936</v>
      </c>
      <c r="C21" s="1" t="s">
        <v>3889</v>
      </c>
      <c r="D21" s="1" t="s">
        <v>3890</v>
      </c>
      <c r="E21" s="1" t="s">
        <v>603</v>
      </c>
      <c r="I21" s="2">
        <v>34842</v>
      </c>
      <c r="J21" s="1" t="s">
        <v>19</v>
      </c>
      <c r="K21" s="1" t="s">
        <v>20</v>
      </c>
      <c r="L21" s="1" t="s">
        <v>3891</v>
      </c>
      <c r="M21" s="1" t="s">
        <v>3892</v>
      </c>
      <c r="N21" s="1" t="s">
        <v>23</v>
      </c>
      <c r="O21" s="1" t="s">
        <v>3893</v>
      </c>
      <c r="P21" s="1">
        <f>31-637349913</f>
        <v>-637349882</v>
      </c>
      <c r="Q21" s="1">
        <v>2012</v>
      </c>
    </row>
    <row r="22" spans="1:17" s="1" customFormat="1" x14ac:dyDescent="0.25">
      <c r="A22" s="1" t="s">
        <v>15</v>
      </c>
      <c r="B22" s="1">
        <v>4292502</v>
      </c>
      <c r="C22" s="1" t="s">
        <v>3899</v>
      </c>
      <c r="D22" s="1" t="s">
        <v>3900</v>
      </c>
      <c r="E22" s="1" t="s">
        <v>3901</v>
      </c>
      <c r="I22" s="2">
        <v>34804</v>
      </c>
      <c r="J22" s="1" t="s">
        <v>19</v>
      </c>
      <c r="K22" s="1" t="s">
        <v>20</v>
      </c>
      <c r="L22" s="1" t="s">
        <v>3902</v>
      </c>
      <c r="M22" s="1" t="s">
        <v>3903</v>
      </c>
      <c r="N22" s="1" t="s">
        <v>23</v>
      </c>
      <c r="O22" s="1" t="s">
        <v>3904</v>
      </c>
      <c r="P22" s="1">
        <f>31-653262696</f>
        <v>-653262665</v>
      </c>
      <c r="Q22" s="1">
        <v>2013</v>
      </c>
    </row>
    <row r="23" spans="1:17" s="1" customFormat="1" x14ac:dyDescent="0.25">
      <c r="A23" s="1" t="s">
        <v>15</v>
      </c>
      <c r="B23" s="1">
        <v>4275446</v>
      </c>
      <c r="C23" s="1" t="s">
        <v>3905</v>
      </c>
      <c r="D23" s="1" t="s">
        <v>3906</v>
      </c>
      <c r="E23" s="1" t="s">
        <v>765</v>
      </c>
      <c r="I23" s="2">
        <v>34778</v>
      </c>
      <c r="J23" s="1" t="s">
        <v>19</v>
      </c>
      <c r="K23" s="1" t="s">
        <v>20</v>
      </c>
      <c r="L23" s="1" t="s">
        <v>3907</v>
      </c>
      <c r="M23" s="1" t="s">
        <v>3908</v>
      </c>
      <c r="N23" s="1" t="s">
        <v>23</v>
      </c>
      <c r="O23" s="1" t="s">
        <v>3909</v>
      </c>
      <c r="Q23" s="1">
        <v>2013</v>
      </c>
    </row>
    <row r="24" spans="1:17" s="1" customFormat="1" x14ac:dyDescent="0.25">
      <c r="A24" s="1" t="s">
        <v>15</v>
      </c>
      <c r="B24" s="1">
        <v>4331508</v>
      </c>
      <c r="C24" s="1" t="s">
        <v>3910</v>
      </c>
      <c r="D24" s="1" t="s">
        <v>3911</v>
      </c>
      <c r="E24" s="1" t="s">
        <v>3912</v>
      </c>
      <c r="I24" s="2">
        <v>34959</v>
      </c>
      <c r="J24" s="1" t="s">
        <v>19</v>
      </c>
      <c r="K24" s="1" t="s">
        <v>20</v>
      </c>
      <c r="L24" s="1" t="s">
        <v>3913</v>
      </c>
      <c r="M24" s="1" t="s">
        <v>3914</v>
      </c>
      <c r="N24" s="1" t="s">
        <v>23</v>
      </c>
      <c r="O24" s="1" t="s">
        <v>3915</v>
      </c>
      <c r="P24" s="1">
        <f>31-641602959</f>
        <v>-641602928</v>
      </c>
      <c r="Q24" s="1">
        <v>2013</v>
      </c>
    </row>
    <row r="25" spans="1:17" s="1" customFormat="1" x14ac:dyDescent="0.25">
      <c r="A25" s="1" t="s">
        <v>15</v>
      </c>
      <c r="B25" s="1">
        <v>4321987</v>
      </c>
      <c r="C25" s="1" t="s">
        <v>3916</v>
      </c>
      <c r="D25" s="1" t="s">
        <v>3917</v>
      </c>
      <c r="E25" s="1" t="s">
        <v>3918</v>
      </c>
      <c r="I25" s="2">
        <v>34452</v>
      </c>
      <c r="J25" s="1" t="s">
        <v>19</v>
      </c>
      <c r="K25" s="1" t="s">
        <v>20</v>
      </c>
      <c r="L25" s="1" t="s">
        <v>3919</v>
      </c>
      <c r="M25" s="1" t="s">
        <v>3920</v>
      </c>
      <c r="N25" s="1" t="s">
        <v>23</v>
      </c>
      <c r="O25" s="1" t="s">
        <v>3921</v>
      </c>
      <c r="P25" s="1">
        <f>31-619059999</f>
        <v>-619059968</v>
      </c>
      <c r="Q25" s="1">
        <v>2013</v>
      </c>
    </row>
    <row r="26" spans="1:17" s="1" customFormat="1" x14ac:dyDescent="0.25">
      <c r="A26" s="1" t="s">
        <v>15</v>
      </c>
      <c r="B26" s="1">
        <v>4278895</v>
      </c>
      <c r="C26" s="1" t="s">
        <v>1909</v>
      </c>
      <c r="D26" s="1" t="s">
        <v>3922</v>
      </c>
      <c r="E26" s="1" t="s">
        <v>3923</v>
      </c>
      <c r="I26" s="2">
        <v>34618</v>
      </c>
      <c r="J26" s="1" t="s">
        <v>19</v>
      </c>
      <c r="K26" s="1" t="s">
        <v>20</v>
      </c>
      <c r="L26" s="1" t="s">
        <v>3924</v>
      </c>
      <c r="M26" s="1" t="s">
        <v>3925</v>
      </c>
      <c r="N26" s="1" t="s">
        <v>23</v>
      </c>
      <c r="O26" s="1" t="s">
        <v>3926</v>
      </c>
      <c r="Q26" s="1">
        <v>2013</v>
      </c>
    </row>
    <row r="27" spans="1:17" s="1" customFormat="1" x14ac:dyDescent="0.25">
      <c r="A27" s="1" t="s">
        <v>15</v>
      </c>
      <c r="B27" s="1">
        <v>4271998</v>
      </c>
      <c r="C27" s="1" t="s">
        <v>3927</v>
      </c>
      <c r="D27" s="1" t="s">
        <v>3928</v>
      </c>
      <c r="E27" s="1" t="s">
        <v>3929</v>
      </c>
      <c r="I27" s="2">
        <v>34205</v>
      </c>
      <c r="J27" s="1" t="s">
        <v>137</v>
      </c>
      <c r="K27" s="1" t="s">
        <v>20</v>
      </c>
      <c r="L27" s="1" t="s">
        <v>3930</v>
      </c>
      <c r="M27" s="1" t="s">
        <v>3931</v>
      </c>
      <c r="N27" s="1" t="s">
        <v>140</v>
      </c>
      <c r="O27" s="1" t="s">
        <v>3932</v>
      </c>
      <c r="P27" s="1">
        <f>32-470515280</f>
        <v>-470515248</v>
      </c>
      <c r="Q27" s="1">
        <v>2013</v>
      </c>
    </row>
    <row r="28" spans="1:17" s="1" customFormat="1" x14ac:dyDescent="0.25">
      <c r="A28" s="1" t="s">
        <v>15</v>
      </c>
      <c r="B28" s="1">
        <v>4307372</v>
      </c>
      <c r="C28" s="1" t="s">
        <v>2138</v>
      </c>
      <c r="D28" s="1" t="s">
        <v>3938</v>
      </c>
      <c r="E28" s="1" t="s">
        <v>1507</v>
      </c>
      <c r="I28" s="2">
        <v>34965</v>
      </c>
      <c r="J28" s="1" t="s">
        <v>19</v>
      </c>
      <c r="K28" s="1" t="s">
        <v>20</v>
      </c>
      <c r="L28" s="1" t="s">
        <v>3939</v>
      </c>
      <c r="M28" s="1" t="s">
        <v>3940</v>
      </c>
      <c r="N28" s="1" t="s">
        <v>23</v>
      </c>
      <c r="O28" s="1" t="s">
        <v>3941</v>
      </c>
      <c r="P28" s="1">
        <f>31-639578848</f>
        <v>-639578817</v>
      </c>
      <c r="Q28" s="1">
        <v>2013</v>
      </c>
    </row>
    <row r="29" spans="1:17" s="1" customFormat="1" x14ac:dyDescent="0.25">
      <c r="A29" s="1" t="s">
        <v>15</v>
      </c>
      <c r="B29" s="1">
        <v>4306007</v>
      </c>
      <c r="C29" s="1" t="s">
        <v>3942</v>
      </c>
      <c r="D29" s="1" t="s">
        <v>3943</v>
      </c>
      <c r="E29" s="1" t="s">
        <v>3944</v>
      </c>
      <c r="I29" s="2">
        <v>34214</v>
      </c>
      <c r="J29" s="1" t="s">
        <v>19</v>
      </c>
      <c r="K29" s="1" t="s">
        <v>20</v>
      </c>
      <c r="L29" s="1" t="s">
        <v>3945</v>
      </c>
      <c r="M29" s="1" t="s">
        <v>3946</v>
      </c>
      <c r="N29" s="1" t="s">
        <v>23</v>
      </c>
      <c r="O29" s="1" t="s">
        <v>3947</v>
      </c>
      <c r="P29" s="1">
        <f>31-618094256</f>
        <v>-618094225</v>
      </c>
      <c r="Q29" s="1">
        <v>2013</v>
      </c>
    </row>
    <row r="30" spans="1:17" s="1" customFormat="1" x14ac:dyDescent="0.25">
      <c r="A30" s="1" t="s">
        <v>15</v>
      </c>
      <c r="B30" s="1">
        <v>4305485</v>
      </c>
      <c r="C30" s="1" t="s">
        <v>3948</v>
      </c>
      <c r="D30" s="1" t="s">
        <v>3949</v>
      </c>
      <c r="E30" s="1" t="s">
        <v>3950</v>
      </c>
      <c r="I30" s="2">
        <v>33569</v>
      </c>
      <c r="J30" s="1" t="s">
        <v>19</v>
      </c>
      <c r="K30" s="1" t="s">
        <v>20</v>
      </c>
      <c r="L30" s="1" t="s">
        <v>3951</v>
      </c>
      <c r="M30" s="1" t="s">
        <v>3952</v>
      </c>
      <c r="N30" s="1" t="s">
        <v>23</v>
      </c>
      <c r="O30" s="1" t="s">
        <v>3953</v>
      </c>
      <c r="P30" s="1">
        <f>31-614204268</f>
        <v>-614204237</v>
      </c>
      <c r="Q30" s="1">
        <v>2013</v>
      </c>
    </row>
    <row r="31" spans="1:17" s="1" customFormat="1" x14ac:dyDescent="0.25">
      <c r="A31" s="1" t="s">
        <v>15</v>
      </c>
      <c r="B31" s="1">
        <v>4315731</v>
      </c>
      <c r="C31" s="1" t="s">
        <v>3954</v>
      </c>
      <c r="D31" s="1" t="s">
        <v>3955</v>
      </c>
      <c r="E31" s="1" t="s">
        <v>253</v>
      </c>
      <c r="I31" s="2">
        <v>34522</v>
      </c>
      <c r="J31" s="1" t="s">
        <v>19</v>
      </c>
      <c r="K31" s="1" t="s">
        <v>20</v>
      </c>
      <c r="L31" s="1" t="s">
        <v>3956</v>
      </c>
      <c r="M31" s="1" t="s">
        <v>3957</v>
      </c>
      <c r="N31" s="1" t="s">
        <v>23</v>
      </c>
      <c r="O31" s="1" t="s">
        <v>3958</v>
      </c>
      <c r="P31" s="1">
        <f>31-639842021</f>
        <v>-639841990</v>
      </c>
      <c r="Q31" s="1">
        <v>2013</v>
      </c>
    </row>
    <row r="32" spans="1:17" s="1" customFormat="1" x14ac:dyDescent="0.25">
      <c r="A32" s="1" t="s">
        <v>15</v>
      </c>
      <c r="B32" s="1">
        <v>4235924</v>
      </c>
      <c r="C32" s="1" t="s">
        <v>3959</v>
      </c>
      <c r="D32" s="1" t="s">
        <v>3960</v>
      </c>
      <c r="E32" s="1" t="s">
        <v>3961</v>
      </c>
      <c r="I32" s="2">
        <v>34509</v>
      </c>
      <c r="J32" s="1" t="s">
        <v>19</v>
      </c>
      <c r="K32" s="1" t="s">
        <v>20</v>
      </c>
      <c r="L32" s="1" t="s">
        <v>3962</v>
      </c>
      <c r="M32" s="1" t="s">
        <v>3963</v>
      </c>
      <c r="N32" s="1" t="s">
        <v>23</v>
      </c>
      <c r="O32" s="1" t="s">
        <v>3964</v>
      </c>
      <c r="P32" s="1">
        <f>31-683340744</f>
        <v>-683340713</v>
      </c>
      <c r="Q32" s="1">
        <v>2013</v>
      </c>
    </row>
    <row r="33" spans="1:17" s="1" customFormat="1" x14ac:dyDescent="0.25">
      <c r="A33" s="1" t="s">
        <v>15</v>
      </c>
      <c r="B33" s="1">
        <v>4283937</v>
      </c>
      <c r="C33" s="1" t="s">
        <v>881</v>
      </c>
      <c r="D33" s="1" t="s">
        <v>3965</v>
      </c>
      <c r="E33" s="1" t="s">
        <v>3966</v>
      </c>
      <c r="I33" s="2">
        <v>33503</v>
      </c>
      <c r="J33" s="1" t="s">
        <v>19</v>
      </c>
      <c r="K33" s="1" t="s">
        <v>20</v>
      </c>
      <c r="L33" s="1" t="s">
        <v>3967</v>
      </c>
      <c r="M33" s="1" t="s">
        <v>3968</v>
      </c>
      <c r="N33" s="1" t="s">
        <v>23</v>
      </c>
      <c r="O33" s="1" t="s">
        <v>3969</v>
      </c>
      <c r="P33" s="1">
        <f>31-643998807</f>
        <v>-643998776</v>
      </c>
      <c r="Q33" s="1">
        <v>2013</v>
      </c>
    </row>
    <row r="34" spans="1:17" s="1" customFormat="1" x14ac:dyDescent="0.25">
      <c r="A34" s="1" t="s">
        <v>15</v>
      </c>
      <c r="B34" s="1">
        <v>4285271</v>
      </c>
      <c r="C34" s="1" t="s">
        <v>3970</v>
      </c>
      <c r="D34" s="1" t="s">
        <v>3971</v>
      </c>
      <c r="E34" s="1" t="s">
        <v>3972</v>
      </c>
      <c r="I34" s="2">
        <v>34051</v>
      </c>
      <c r="J34" s="1" t="s">
        <v>19</v>
      </c>
      <c r="K34" s="1" t="s">
        <v>20</v>
      </c>
      <c r="L34" s="1" t="s">
        <v>3973</v>
      </c>
      <c r="M34" s="1" t="s">
        <v>3974</v>
      </c>
      <c r="N34" s="1" t="s">
        <v>23</v>
      </c>
      <c r="O34" s="1" t="s">
        <v>3975</v>
      </c>
      <c r="P34" s="1">
        <f>31-618558917</f>
        <v>-618558886</v>
      </c>
      <c r="Q34" s="1">
        <v>2013</v>
      </c>
    </row>
    <row r="35" spans="1:17" s="1" customFormat="1" x14ac:dyDescent="0.25">
      <c r="A35" s="1" t="s">
        <v>15</v>
      </c>
      <c r="B35" s="1">
        <v>4331397</v>
      </c>
      <c r="C35" s="1" t="s">
        <v>3976</v>
      </c>
      <c r="D35" s="1" t="s">
        <v>3977</v>
      </c>
      <c r="E35" s="1" t="s">
        <v>3978</v>
      </c>
      <c r="I35" s="2">
        <v>34185</v>
      </c>
      <c r="J35" s="1" t="s">
        <v>19</v>
      </c>
      <c r="K35" s="1" t="s">
        <v>20</v>
      </c>
      <c r="L35" s="1" t="s">
        <v>3979</v>
      </c>
      <c r="M35" s="1" t="s">
        <v>3980</v>
      </c>
      <c r="N35" s="1" t="s">
        <v>23</v>
      </c>
      <c r="O35" s="1" t="s">
        <v>3981</v>
      </c>
      <c r="P35" s="1">
        <f>31-646074814</f>
        <v>-646074783</v>
      </c>
      <c r="Q35" s="1">
        <v>2013</v>
      </c>
    </row>
    <row r="36" spans="1:17" s="1" customFormat="1" x14ac:dyDescent="0.25">
      <c r="A36" s="1" t="s">
        <v>15</v>
      </c>
      <c r="B36" s="1">
        <v>4294211</v>
      </c>
      <c r="C36" s="1" t="s">
        <v>3982</v>
      </c>
      <c r="D36" s="1" t="s">
        <v>3983</v>
      </c>
      <c r="E36" s="1" t="s">
        <v>1528</v>
      </c>
      <c r="I36" s="2">
        <v>34914</v>
      </c>
      <c r="J36" s="1" t="s">
        <v>137</v>
      </c>
      <c r="K36" s="1" t="s">
        <v>20</v>
      </c>
      <c r="L36" s="1" t="s">
        <v>3984</v>
      </c>
      <c r="M36" s="1" t="s">
        <v>3985</v>
      </c>
      <c r="N36" s="1" t="s">
        <v>140</v>
      </c>
      <c r="O36" s="1" t="s">
        <v>1529</v>
      </c>
      <c r="P36" s="1">
        <f>32-477268846</f>
        <v>-477268814</v>
      </c>
      <c r="Q36" s="1">
        <v>2013</v>
      </c>
    </row>
    <row r="37" spans="1:17" s="1" customFormat="1" x14ac:dyDescent="0.25">
      <c r="A37" s="1" t="s">
        <v>15</v>
      </c>
      <c r="B37" s="1">
        <v>4274318</v>
      </c>
      <c r="C37" s="1" t="s">
        <v>5025</v>
      </c>
      <c r="D37" s="1" t="s">
        <v>5026</v>
      </c>
      <c r="E37" s="1" t="s">
        <v>5027</v>
      </c>
      <c r="I37" s="2">
        <v>34647</v>
      </c>
      <c r="J37" s="1" t="s">
        <v>19</v>
      </c>
      <c r="K37" s="1" t="s">
        <v>111</v>
      </c>
      <c r="L37" s="1" t="s">
        <v>5028</v>
      </c>
      <c r="M37" s="1" t="s">
        <v>5029</v>
      </c>
      <c r="N37" s="1" t="s">
        <v>23</v>
      </c>
      <c r="O37" s="1" t="s">
        <v>5030</v>
      </c>
      <c r="P37" s="1">
        <f>31-636164511</f>
        <v>-636164480</v>
      </c>
      <c r="Q37" s="1">
        <v>2013</v>
      </c>
    </row>
    <row r="38" spans="1:17" s="1" customFormat="1" x14ac:dyDescent="0.25">
      <c r="A38" s="1" t="s">
        <v>15</v>
      </c>
      <c r="B38" s="1">
        <v>4162846</v>
      </c>
      <c r="C38" s="1" t="s">
        <v>3992</v>
      </c>
      <c r="D38" s="1" t="s">
        <v>3993</v>
      </c>
      <c r="E38" s="1" t="s">
        <v>3994</v>
      </c>
      <c r="I38" s="2">
        <v>33559</v>
      </c>
      <c r="J38" s="1" t="s">
        <v>19</v>
      </c>
      <c r="K38" s="1" t="s">
        <v>20</v>
      </c>
      <c r="L38" s="1" t="s">
        <v>3995</v>
      </c>
      <c r="M38" s="1" t="s">
        <v>3996</v>
      </c>
      <c r="N38" s="1" t="s">
        <v>23</v>
      </c>
      <c r="O38" s="1" t="s">
        <v>3997</v>
      </c>
      <c r="P38" s="1">
        <f>31-652293623</f>
        <v>-652293592</v>
      </c>
      <c r="Q38" s="1">
        <v>2012</v>
      </c>
    </row>
    <row r="39" spans="1:17" s="1" customFormat="1" x14ac:dyDescent="0.25">
      <c r="A39" s="1" t="s">
        <v>15</v>
      </c>
      <c r="B39" s="1">
        <v>4289919</v>
      </c>
      <c r="C39" s="1" t="s">
        <v>3998</v>
      </c>
      <c r="D39" s="1" t="s">
        <v>3999</v>
      </c>
      <c r="E39" s="1" t="s">
        <v>4000</v>
      </c>
      <c r="I39" s="2">
        <v>34833</v>
      </c>
      <c r="J39" s="1" t="s">
        <v>19</v>
      </c>
      <c r="K39" s="1" t="s">
        <v>20</v>
      </c>
      <c r="L39" s="1" t="s">
        <v>4001</v>
      </c>
      <c r="M39" s="1" t="s">
        <v>4002</v>
      </c>
      <c r="N39" s="1" t="s">
        <v>23</v>
      </c>
      <c r="O39" s="1" t="s">
        <v>4003</v>
      </c>
      <c r="P39" s="1">
        <f>31-634181781</f>
        <v>-634181750</v>
      </c>
      <c r="Q39" s="1">
        <v>2013</v>
      </c>
    </row>
    <row r="40" spans="1:17" s="1" customFormat="1" x14ac:dyDescent="0.25">
      <c r="A40" s="1" t="s">
        <v>45</v>
      </c>
      <c r="B40" s="1">
        <v>4322673</v>
      </c>
      <c r="C40" s="29" t="s">
        <v>4004</v>
      </c>
      <c r="D40" s="1" t="s">
        <v>4005</v>
      </c>
      <c r="E40" s="1" t="s">
        <v>4006</v>
      </c>
      <c r="I40" s="2">
        <v>34084</v>
      </c>
      <c r="J40" s="1" t="s">
        <v>19</v>
      </c>
      <c r="K40" s="1" t="s">
        <v>20</v>
      </c>
      <c r="L40" s="1" t="s">
        <v>4007</v>
      </c>
      <c r="M40" s="1" t="s">
        <v>4008</v>
      </c>
      <c r="N40" s="1" t="s">
        <v>23</v>
      </c>
      <c r="O40" s="1" t="s">
        <v>4009</v>
      </c>
      <c r="P40" s="1">
        <f>31-622120075</f>
        <v>-622120044</v>
      </c>
      <c r="Q40" s="1">
        <v>2013</v>
      </c>
    </row>
    <row r="41" spans="1:17" s="1" customFormat="1" x14ac:dyDescent="0.25">
      <c r="A41" s="1" t="s">
        <v>15</v>
      </c>
      <c r="B41" s="1">
        <v>4232887</v>
      </c>
      <c r="C41" s="1" t="s">
        <v>5031</v>
      </c>
      <c r="D41" s="1" t="s">
        <v>5032</v>
      </c>
      <c r="E41" s="1" t="s">
        <v>5033</v>
      </c>
      <c r="I41" s="2">
        <v>34479</v>
      </c>
      <c r="J41" s="1" t="s">
        <v>19</v>
      </c>
      <c r="K41" s="1" t="s">
        <v>111</v>
      </c>
      <c r="L41" s="1" t="s">
        <v>5034</v>
      </c>
      <c r="M41" s="1" t="s">
        <v>5035</v>
      </c>
      <c r="N41" s="1" t="s">
        <v>23</v>
      </c>
      <c r="O41" s="1" t="s">
        <v>5036</v>
      </c>
      <c r="Q41" s="1">
        <v>2013</v>
      </c>
    </row>
    <row r="42" spans="1:17" s="1" customFormat="1" x14ac:dyDescent="0.25">
      <c r="A42" s="1" t="s">
        <v>15</v>
      </c>
      <c r="B42" s="1">
        <v>4308786</v>
      </c>
      <c r="C42" s="1" t="s">
        <v>4010</v>
      </c>
      <c r="D42" s="1" t="s">
        <v>4011</v>
      </c>
      <c r="E42" s="1" t="s">
        <v>1495</v>
      </c>
      <c r="I42" s="2">
        <v>34661</v>
      </c>
      <c r="J42" s="1" t="s">
        <v>19</v>
      </c>
      <c r="K42" s="1" t="s">
        <v>20</v>
      </c>
      <c r="L42" s="1" t="s">
        <v>4012</v>
      </c>
      <c r="M42" s="1" t="s">
        <v>4013</v>
      </c>
      <c r="N42" s="1" t="s">
        <v>23</v>
      </c>
      <c r="O42" s="1" t="s">
        <v>4014</v>
      </c>
      <c r="P42" s="1">
        <f>31-640681733</f>
        <v>-640681702</v>
      </c>
      <c r="Q42" s="1">
        <v>2013</v>
      </c>
    </row>
    <row r="43" spans="1:17" s="1" customFormat="1" x14ac:dyDescent="0.25">
      <c r="A43" s="1" t="s">
        <v>15</v>
      </c>
      <c r="B43" s="1">
        <v>4193423</v>
      </c>
      <c r="C43" s="1" t="s">
        <v>4015</v>
      </c>
      <c r="D43" s="1" t="s">
        <v>4016</v>
      </c>
      <c r="E43" s="1" t="s">
        <v>4017</v>
      </c>
      <c r="I43" s="2">
        <v>33587</v>
      </c>
      <c r="J43" s="1" t="s">
        <v>19</v>
      </c>
      <c r="K43" s="1" t="s">
        <v>20</v>
      </c>
      <c r="L43" s="1" t="s">
        <v>4018</v>
      </c>
      <c r="M43" s="1" t="s">
        <v>4019</v>
      </c>
      <c r="N43" s="1" t="s">
        <v>23</v>
      </c>
      <c r="O43" s="1" t="s">
        <v>4020</v>
      </c>
      <c r="P43" s="1">
        <f>31-649690675</f>
        <v>-649690644</v>
      </c>
      <c r="Q43" s="1">
        <v>2013</v>
      </c>
    </row>
    <row r="44" spans="1:17" s="1" customFormat="1" x14ac:dyDescent="0.25">
      <c r="A44" s="1" t="s">
        <v>15</v>
      </c>
      <c r="B44" s="1">
        <v>4310756</v>
      </c>
      <c r="C44" s="1" t="s">
        <v>4021</v>
      </c>
      <c r="D44" s="1" t="s">
        <v>4022</v>
      </c>
      <c r="E44" s="1" t="s">
        <v>528</v>
      </c>
      <c r="I44" s="2">
        <v>34773</v>
      </c>
      <c r="J44" s="1" t="s">
        <v>19</v>
      </c>
      <c r="K44" s="1" t="s">
        <v>20</v>
      </c>
      <c r="L44" s="1" t="s">
        <v>4023</v>
      </c>
      <c r="M44" s="1" t="s">
        <v>4024</v>
      </c>
      <c r="N44" s="1" t="s">
        <v>23</v>
      </c>
      <c r="O44" s="1" t="s">
        <v>4025</v>
      </c>
      <c r="P44" s="1">
        <f>31-624142916</f>
        <v>-624142885</v>
      </c>
      <c r="Q44" s="1">
        <v>2013</v>
      </c>
    </row>
    <row r="45" spans="1:17" s="1" customFormat="1" x14ac:dyDescent="0.25">
      <c r="A45" s="1" t="s">
        <v>15</v>
      </c>
      <c r="B45" s="1">
        <v>4294602</v>
      </c>
      <c r="C45" s="1" t="s">
        <v>4031</v>
      </c>
      <c r="D45" s="1" t="s">
        <v>4032</v>
      </c>
      <c r="E45" s="1" t="s">
        <v>4033</v>
      </c>
      <c r="I45" s="2">
        <v>33848</v>
      </c>
      <c r="J45" s="1" t="s">
        <v>19</v>
      </c>
      <c r="K45" s="1" t="s">
        <v>20</v>
      </c>
      <c r="L45" s="1" t="s">
        <v>4034</v>
      </c>
      <c r="M45" s="1" t="s">
        <v>4035</v>
      </c>
      <c r="N45" s="1" t="s">
        <v>23</v>
      </c>
      <c r="O45" s="1" t="s">
        <v>4036</v>
      </c>
      <c r="P45" s="1">
        <f>31-613313961</f>
        <v>-613313930</v>
      </c>
      <c r="Q45" s="1">
        <v>2013</v>
      </c>
    </row>
    <row r="46" spans="1:17" s="1" customFormat="1" x14ac:dyDescent="0.25">
      <c r="A46" s="1" t="s">
        <v>45</v>
      </c>
      <c r="B46" s="1">
        <v>4286057</v>
      </c>
      <c r="C46" s="29" t="s">
        <v>5037</v>
      </c>
      <c r="D46" s="1" t="s">
        <v>5038</v>
      </c>
      <c r="E46" s="1" t="s">
        <v>5039</v>
      </c>
      <c r="I46" s="2">
        <v>34739</v>
      </c>
      <c r="J46" s="1" t="s">
        <v>911</v>
      </c>
      <c r="K46" s="1" t="s">
        <v>111</v>
      </c>
      <c r="L46" s="1" t="s">
        <v>5040</v>
      </c>
      <c r="M46" s="1">
        <v>75016</v>
      </c>
      <c r="N46" s="1" t="s">
        <v>5041</v>
      </c>
      <c r="O46" s="1" t="s">
        <v>5042</v>
      </c>
      <c r="P46" s="1">
        <f>212-619683810</f>
        <v>-619683598</v>
      </c>
      <c r="Q46" s="1">
        <v>2013</v>
      </c>
    </row>
    <row r="47" spans="1:17" s="1" customFormat="1" x14ac:dyDescent="0.25">
      <c r="A47" s="1" t="s">
        <v>15</v>
      </c>
      <c r="B47" s="1">
        <v>4304292</v>
      </c>
      <c r="C47" s="1" t="s">
        <v>4037</v>
      </c>
      <c r="D47" s="1" t="s">
        <v>4038</v>
      </c>
      <c r="E47" s="1" t="s">
        <v>4039</v>
      </c>
      <c r="I47" s="2">
        <v>34682</v>
      </c>
      <c r="J47" s="1" t="s">
        <v>19</v>
      </c>
      <c r="K47" s="1" t="s">
        <v>20</v>
      </c>
      <c r="L47" s="1" t="s">
        <v>4040</v>
      </c>
      <c r="M47" s="1" t="s">
        <v>4041</v>
      </c>
      <c r="N47" s="1" t="s">
        <v>23</v>
      </c>
      <c r="O47" s="1" t="s">
        <v>4042</v>
      </c>
      <c r="P47" s="1">
        <f>31-630984153</f>
        <v>-630984122</v>
      </c>
      <c r="Q47" s="1">
        <v>2013</v>
      </c>
    </row>
    <row r="48" spans="1:17" s="1" customFormat="1" x14ac:dyDescent="0.25">
      <c r="A48" s="1" t="s">
        <v>15</v>
      </c>
      <c r="B48" s="1">
        <v>4281446</v>
      </c>
      <c r="C48" s="1" t="s">
        <v>4053</v>
      </c>
      <c r="D48" s="1" t="s">
        <v>4054</v>
      </c>
      <c r="E48" s="1" t="s">
        <v>494</v>
      </c>
      <c r="I48" s="2">
        <v>34739</v>
      </c>
      <c r="J48" s="1" t="s">
        <v>19</v>
      </c>
      <c r="K48" s="1" t="s">
        <v>20</v>
      </c>
      <c r="L48" s="1" t="s">
        <v>4055</v>
      </c>
      <c r="M48" s="1" t="s">
        <v>4056</v>
      </c>
      <c r="N48" s="1" t="s">
        <v>23</v>
      </c>
      <c r="O48" s="1" t="s">
        <v>4057</v>
      </c>
      <c r="P48" s="1">
        <f>31-631683365</f>
        <v>-631683334</v>
      </c>
      <c r="Q48" s="1">
        <v>2013</v>
      </c>
    </row>
    <row r="49" spans="1:17" s="1" customFormat="1" x14ac:dyDescent="0.25">
      <c r="A49" s="1" t="s">
        <v>45</v>
      </c>
      <c r="B49" s="1">
        <v>4171284</v>
      </c>
      <c r="C49" s="29" t="s">
        <v>4064</v>
      </c>
      <c r="D49" s="1" t="s">
        <v>4065</v>
      </c>
      <c r="E49" s="1" t="s">
        <v>834</v>
      </c>
      <c r="I49" s="2">
        <v>34295</v>
      </c>
      <c r="J49" s="1" t="s">
        <v>19</v>
      </c>
      <c r="K49" s="1" t="s">
        <v>20</v>
      </c>
      <c r="L49" s="1" t="s">
        <v>4066</v>
      </c>
      <c r="M49" s="1" t="s">
        <v>4067</v>
      </c>
      <c r="N49" s="1" t="s">
        <v>23</v>
      </c>
      <c r="O49" s="1" t="s">
        <v>4068</v>
      </c>
      <c r="P49" s="1">
        <f>31-614697175</f>
        <v>-614697144</v>
      </c>
      <c r="Q49" s="1">
        <v>2011</v>
      </c>
    </row>
    <row r="50" spans="1:17" s="1" customFormat="1" x14ac:dyDescent="0.25">
      <c r="A50" s="1" t="s">
        <v>15</v>
      </c>
      <c r="B50" s="1">
        <v>4295412</v>
      </c>
      <c r="C50" s="1" t="s">
        <v>838</v>
      </c>
      <c r="D50" s="1" t="s">
        <v>4069</v>
      </c>
      <c r="E50" s="1" t="s">
        <v>3823</v>
      </c>
      <c r="I50" s="2">
        <v>34449</v>
      </c>
      <c r="J50" s="1" t="s">
        <v>19</v>
      </c>
      <c r="K50" s="1" t="s">
        <v>20</v>
      </c>
      <c r="L50" s="1" t="s">
        <v>4070</v>
      </c>
      <c r="M50" s="1" t="s">
        <v>4071</v>
      </c>
      <c r="N50" s="1" t="s">
        <v>23</v>
      </c>
      <c r="O50" s="1" t="s">
        <v>4072</v>
      </c>
      <c r="P50" s="1">
        <f>31-614414120</f>
        <v>-614414089</v>
      </c>
      <c r="Q50" s="1">
        <v>2013</v>
      </c>
    </row>
    <row r="51" spans="1:17" s="1" customFormat="1" x14ac:dyDescent="0.25">
      <c r="A51" s="1" t="s">
        <v>15</v>
      </c>
      <c r="B51" s="1">
        <v>4293320</v>
      </c>
      <c r="C51" s="1" t="s">
        <v>4079</v>
      </c>
      <c r="D51" s="1" t="s">
        <v>4080</v>
      </c>
      <c r="E51" s="1" t="s">
        <v>4081</v>
      </c>
      <c r="I51" s="2">
        <v>34453</v>
      </c>
      <c r="J51" s="1" t="s">
        <v>19</v>
      </c>
      <c r="K51" s="1" t="s">
        <v>20</v>
      </c>
      <c r="L51" s="1" t="s">
        <v>4082</v>
      </c>
      <c r="M51" s="1" t="s">
        <v>4083</v>
      </c>
      <c r="N51" s="1" t="s">
        <v>23</v>
      </c>
      <c r="O51" s="1" t="s">
        <v>4084</v>
      </c>
      <c r="P51" s="1">
        <f>31-640629395</f>
        <v>-640629364</v>
      </c>
      <c r="Q51" s="1">
        <v>2013</v>
      </c>
    </row>
    <row r="52" spans="1:17" s="1" customFormat="1" x14ac:dyDescent="0.25">
      <c r="A52" s="1" t="s">
        <v>15</v>
      </c>
      <c r="B52" s="1">
        <v>4327640</v>
      </c>
      <c r="C52" s="1" t="s">
        <v>4085</v>
      </c>
      <c r="D52" s="1" t="s">
        <v>4086</v>
      </c>
      <c r="E52" s="1" t="s">
        <v>4087</v>
      </c>
      <c r="I52" s="2">
        <v>33228</v>
      </c>
      <c r="J52" s="1" t="s">
        <v>4088</v>
      </c>
      <c r="K52" s="1" t="s">
        <v>20</v>
      </c>
      <c r="L52" s="1" t="s">
        <v>4089</v>
      </c>
      <c r="M52" s="1" t="s">
        <v>4090</v>
      </c>
      <c r="N52" s="1" t="s">
        <v>23</v>
      </c>
      <c r="O52" s="1" t="s">
        <v>4091</v>
      </c>
      <c r="P52" s="1">
        <f>31-641627781</f>
        <v>-641627750</v>
      </c>
      <c r="Q52" s="1">
        <v>2013</v>
      </c>
    </row>
    <row r="53" spans="1:17" s="1" customFormat="1" x14ac:dyDescent="0.25">
      <c r="A53" s="1" t="s">
        <v>15</v>
      </c>
      <c r="B53" s="1">
        <v>4280741</v>
      </c>
      <c r="C53" s="1" t="s">
        <v>4092</v>
      </c>
      <c r="D53" s="1" t="s">
        <v>4093</v>
      </c>
      <c r="E53" s="1" t="s">
        <v>4094</v>
      </c>
      <c r="I53" s="2">
        <v>34792</v>
      </c>
      <c r="J53" s="1" t="s">
        <v>19</v>
      </c>
      <c r="K53" s="1" t="s">
        <v>20</v>
      </c>
      <c r="L53" s="1" t="s">
        <v>4095</v>
      </c>
      <c r="M53" s="1" t="s">
        <v>4096</v>
      </c>
      <c r="N53" s="1" t="s">
        <v>23</v>
      </c>
      <c r="O53" s="1" t="s">
        <v>4097</v>
      </c>
      <c r="P53" s="1">
        <f>31-651419703</f>
        <v>-651419672</v>
      </c>
      <c r="Q53" s="1">
        <v>2013</v>
      </c>
    </row>
    <row r="54" spans="1:17" s="1" customFormat="1" x14ac:dyDescent="0.25">
      <c r="A54" s="1" t="s">
        <v>15</v>
      </c>
      <c r="B54" s="1">
        <v>4225929</v>
      </c>
      <c r="C54" s="1" t="s">
        <v>4098</v>
      </c>
      <c r="D54" s="1" t="s">
        <v>4099</v>
      </c>
      <c r="E54" s="1" t="s">
        <v>1442</v>
      </c>
      <c r="I54" s="2">
        <v>34139</v>
      </c>
      <c r="J54" s="1" t="s">
        <v>19</v>
      </c>
      <c r="K54" s="1" t="s">
        <v>20</v>
      </c>
      <c r="L54" s="1" t="s">
        <v>4100</v>
      </c>
      <c r="M54" s="1" t="s">
        <v>4101</v>
      </c>
      <c r="N54" s="1" t="s">
        <v>23</v>
      </c>
      <c r="O54" s="1" t="s">
        <v>4102</v>
      </c>
      <c r="P54" s="1">
        <f>31-653493684</f>
        <v>-653493653</v>
      </c>
      <c r="Q54" s="1">
        <v>2013</v>
      </c>
    </row>
    <row r="55" spans="1:17" s="1" customFormat="1" x14ac:dyDescent="0.25">
      <c r="A55" s="1" t="s">
        <v>15</v>
      </c>
      <c r="B55" s="1">
        <v>4326407</v>
      </c>
      <c r="C55" s="1" t="s">
        <v>2390</v>
      </c>
      <c r="D55" s="1" t="s">
        <v>4103</v>
      </c>
      <c r="E55" s="1" t="s">
        <v>271</v>
      </c>
      <c r="I55" s="2">
        <v>34508</v>
      </c>
      <c r="J55" s="1" t="s">
        <v>19</v>
      </c>
      <c r="K55" s="1" t="s">
        <v>20</v>
      </c>
      <c r="L55" s="1" t="s">
        <v>4104</v>
      </c>
      <c r="M55" s="1" t="s">
        <v>4105</v>
      </c>
      <c r="N55" s="1" t="s">
        <v>23</v>
      </c>
      <c r="O55" s="1" t="s">
        <v>4106</v>
      </c>
      <c r="Q55" s="1">
        <v>2013</v>
      </c>
    </row>
    <row r="56" spans="1:17" s="1" customFormat="1" x14ac:dyDescent="0.25">
      <c r="A56" s="1" t="s">
        <v>15</v>
      </c>
      <c r="B56" s="1">
        <v>4293126</v>
      </c>
      <c r="C56" s="1" t="s">
        <v>4123</v>
      </c>
      <c r="D56" s="1" t="s">
        <v>4124</v>
      </c>
      <c r="E56" s="1" t="s">
        <v>4125</v>
      </c>
      <c r="I56" s="2">
        <v>34951</v>
      </c>
      <c r="J56" s="1" t="s">
        <v>19</v>
      </c>
      <c r="K56" s="1" t="s">
        <v>20</v>
      </c>
      <c r="L56" s="1" t="s">
        <v>4126</v>
      </c>
      <c r="M56" s="1" t="s">
        <v>4127</v>
      </c>
      <c r="N56" s="1" t="s">
        <v>23</v>
      </c>
      <c r="O56" s="1" t="s">
        <v>4128</v>
      </c>
      <c r="P56" s="1">
        <f>31-628081635</f>
        <v>-628081604</v>
      </c>
      <c r="Q56" s="1">
        <v>2013</v>
      </c>
    </row>
    <row r="57" spans="1:17" s="1" customFormat="1" x14ac:dyDescent="0.25">
      <c r="A57" s="1" t="s">
        <v>15</v>
      </c>
      <c r="B57" s="1">
        <v>4272358</v>
      </c>
      <c r="C57" s="1" t="s">
        <v>4129</v>
      </c>
      <c r="D57" s="1" t="s">
        <v>4130</v>
      </c>
      <c r="E57" s="1" t="s">
        <v>4131</v>
      </c>
      <c r="I57" s="2">
        <v>34330</v>
      </c>
      <c r="J57" s="1" t="s">
        <v>19</v>
      </c>
      <c r="K57" s="1" t="s">
        <v>20</v>
      </c>
      <c r="L57" s="1" t="s">
        <v>4132</v>
      </c>
      <c r="M57" s="1" t="s">
        <v>4133</v>
      </c>
      <c r="N57" s="1" t="s">
        <v>23</v>
      </c>
      <c r="O57" s="1" t="s">
        <v>4134</v>
      </c>
      <c r="P57" s="1">
        <f>31-652633732</f>
        <v>-652633701</v>
      </c>
      <c r="Q57" s="1">
        <v>2013</v>
      </c>
    </row>
    <row r="58" spans="1:17" s="1" customFormat="1" x14ac:dyDescent="0.25">
      <c r="A58" s="1" t="s">
        <v>15</v>
      </c>
      <c r="B58" s="1">
        <v>4311604</v>
      </c>
      <c r="C58" s="1" t="s">
        <v>4135</v>
      </c>
      <c r="D58" s="1" t="s">
        <v>4136</v>
      </c>
      <c r="E58" s="1" t="s">
        <v>4137</v>
      </c>
      <c r="I58" s="2">
        <v>34529</v>
      </c>
      <c r="J58" s="1" t="s">
        <v>19</v>
      </c>
      <c r="K58" s="1" t="s">
        <v>20</v>
      </c>
      <c r="L58" s="1" t="s">
        <v>4138</v>
      </c>
      <c r="M58" s="1" t="s">
        <v>4139</v>
      </c>
      <c r="N58" s="1" t="s">
        <v>23</v>
      </c>
      <c r="O58" s="1" t="s">
        <v>4140</v>
      </c>
      <c r="P58" s="1">
        <f>31-629149635</f>
        <v>-629149604</v>
      </c>
      <c r="Q58" s="1">
        <v>2013</v>
      </c>
    </row>
    <row r="59" spans="1:17" s="1" customFormat="1" x14ac:dyDescent="0.25">
      <c r="A59" s="1" t="s">
        <v>15</v>
      </c>
      <c r="B59" s="1">
        <v>4294866</v>
      </c>
      <c r="C59" s="1" t="s">
        <v>4141</v>
      </c>
      <c r="D59" s="1" t="s">
        <v>4142</v>
      </c>
      <c r="E59" s="1" t="s">
        <v>277</v>
      </c>
      <c r="I59" s="2">
        <v>32767</v>
      </c>
      <c r="J59" s="1" t="s">
        <v>19</v>
      </c>
      <c r="K59" s="1" t="s">
        <v>20</v>
      </c>
      <c r="L59" s="1" t="s">
        <v>4143</v>
      </c>
      <c r="M59" s="1" t="s">
        <v>4144</v>
      </c>
      <c r="N59" s="1" t="s">
        <v>23</v>
      </c>
      <c r="O59" s="1" t="s">
        <v>4145</v>
      </c>
      <c r="P59" s="1">
        <f>31-648332928</f>
        <v>-648332897</v>
      </c>
      <c r="Q59" s="1">
        <v>2013</v>
      </c>
    </row>
    <row r="60" spans="1:17" s="1" customFormat="1" x14ac:dyDescent="0.25">
      <c r="A60" s="1" t="s">
        <v>15</v>
      </c>
      <c r="B60" s="1">
        <v>4292375</v>
      </c>
      <c r="C60" s="1" t="s">
        <v>5043</v>
      </c>
      <c r="D60" s="1" t="s">
        <v>5044</v>
      </c>
      <c r="E60" s="1" t="s">
        <v>5045</v>
      </c>
      <c r="I60" s="2">
        <v>34764</v>
      </c>
      <c r="J60" s="1" t="s">
        <v>19</v>
      </c>
      <c r="K60" s="1" t="s">
        <v>111</v>
      </c>
      <c r="L60" s="1" t="s">
        <v>5046</v>
      </c>
      <c r="M60" s="1" t="s">
        <v>5047</v>
      </c>
      <c r="N60" s="1" t="s">
        <v>23</v>
      </c>
      <c r="O60" s="1" t="s">
        <v>5048</v>
      </c>
      <c r="P60" s="1">
        <f>31-630259624</f>
        <v>-630259593</v>
      </c>
      <c r="Q60" s="1">
        <v>2013</v>
      </c>
    </row>
    <row r="61" spans="1:17" s="1" customFormat="1" x14ac:dyDescent="0.25">
      <c r="A61" s="1" t="s">
        <v>45</v>
      </c>
      <c r="B61" s="1">
        <v>4334825</v>
      </c>
      <c r="C61" s="29" t="s">
        <v>4146</v>
      </c>
      <c r="D61" s="1" t="s">
        <v>4147</v>
      </c>
      <c r="E61" s="1" t="s">
        <v>4148</v>
      </c>
      <c r="I61" s="2">
        <v>32506</v>
      </c>
      <c r="J61" s="1" t="s">
        <v>19</v>
      </c>
      <c r="K61" s="1" t="s">
        <v>20</v>
      </c>
      <c r="L61" s="1" t="s">
        <v>4149</v>
      </c>
      <c r="M61" s="1" t="s">
        <v>3310</v>
      </c>
      <c r="N61" s="1" t="s">
        <v>23</v>
      </c>
      <c r="O61" s="1" t="s">
        <v>4150</v>
      </c>
      <c r="P61" s="1">
        <f>31-644549294</f>
        <v>-644549263</v>
      </c>
      <c r="Q61" s="1">
        <v>2013</v>
      </c>
    </row>
    <row r="62" spans="1:17" s="1" customFormat="1" x14ac:dyDescent="0.25">
      <c r="A62" s="1" t="s">
        <v>45</v>
      </c>
      <c r="B62" s="1">
        <v>4316916</v>
      </c>
      <c r="C62" s="29" t="s">
        <v>4151</v>
      </c>
      <c r="D62" s="1" t="s">
        <v>4152</v>
      </c>
      <c r="E62" s="1" t="s">
        <v>4153</v>
      </c>
      <c r="I62" s="2">
        <v>34383</v>
      </c>
      <c r="J62" s="1" t="s">
        <v>19</v>
      </c>
      <c r="K62" s="1" t="s">
        <v>20</v>
      </c>
      <c r="L62" s="1" t="s">
        <v>4154</v>
      </c>
      <c r="M62" s="1" t="s">
        <v>4155</v>
      </c>
      <c r="N62" s="1" t="s">
        <v>23</v>
      </c>
      <c r="O62" s="1" t="s">
        <v>4156</v>
      </c>
      <c r="P62" s="1">
        <f>31-636173119</f>
        <v>-636173088</v>
      </c>
      <c r="Q62" s="1">
        <v>2013</v>
      </c>
    </row>
    <row r="63" spans="1:17" s="1" customFormat="1" x14ac:dyDescent="0.25">
      <c r="A63" s="1" t="s">
        <v>15</v>
      </c>
      <c r="B63" s="1">
        <v>4162935</v>
      </c>
      <c r="C63" s="1" t="s">
        <v>4157</v>
      </c>
      <c r="D63" s="1" t="s">
        <v>4158</v>
      </c>
      <c r="E63" s="1" t="s">
        <v>54</v>
      </c>
      <c r="I63" s="2">
        <v>33920</v>
      </c>
      <c r="J63" s="1" t="s">
        <v>19</v>
      </c>
      <c r="K63" s="1" t="s">
        <v>20</v>
      </c>
      <c r="L63" s="1" t="s">
        <v>4159</v>
      </c>
      <c r="M63" s="1" t="s">
        <v>4160</v>
      </c>
      <c r="N63" s="1" t="s">
        <v>23</v>
      </c>
      <c r="O63" s="1" t="s">
        <v>4161</v>
      </c>
      <c r="P63" s="1">
        <f>31-650800123</f>
        <v>-650800092</v>
      </c>
      <c r="Q63" s="1">
        <v>2013</v>
      </c>
    </row>
    <row r="64" spans="1:17" s="1" customFormat="1" x14ac:dyDescent="0.25">
      <c r="A64" s="1" t="s">
        <v>15</v>
      </c>
      <c r="B64" s="1">
        <v>4301250</v>
      </c>
      <c r="C64" s="1" t="s">
        <v>4157</v>
      </c>
      <c r="D64" s="1" t="s">
        <v>4162</v>
      </c>
      <c r="E64" s="1" t="s">
        <v>4163</v>
      </c>
      <c r="I64" s="2">
        <v>34673</v>
      </c>
      <c r="J64" s="1" t="s">
        <v>19</v>
      </c>
      <c r="K64" s="1" t="s">
        <v>20</v>
      </c>
      <c r="L64" s="1" t="s">
        <v>4164</v>
      </c>
      <c r="M64" s="1" t="s">
        <v>4165</v>
      </c>
      <c r="N64" s="1" t="s">
        <v>23</v>
      </c>
      <c r="O64" s="1" t="s">
        <v>4166</v>
      </c>
      <c r="P64" s="1">
        <f>31-683891565</f>
        <v>-683891534</v>
      </c>
      <c r="Q64" s="1">
        <v>2013</v>
      </c>
    </row>
    <row r="65" spans="1:17" s="1" customFormat="1" x14ac:dyDescent="0.25">
      <c r="A65" s="1" t="s">
        <v>15</v>
      </c>
      <c r="B65" s="1">
        <v>4310152</v>
      </c>
      <c r="C65" s="1" t="s">
        <v>4167</v>
      </c>
      <c r="D65" s="1" t="s">
        <v>4168</v>
      </c>
      <c r="E65" s="1" t="s">
        <v>4169</v>
      </c>
      <c r="I65" s="2">
        <v>34586</v>
      </c>
      <c r="J65" s="1" t="s">
        <v>19</v>
      </c>
      <c r="K65" s="1" t="s">
        <v>20</v>
      </c>
      <c r="L65" s="1" t="s">
        <v>4170</v>
      </c>
      <c r="M65" s="1" t="s">
        <v>4171</v>
      </c>
      <c r="N65" s="1" t="s">
        <v>23</v>
      </c>
      <c r="O65" s="1" t="s">
        <v>4172</v>
      </c>
      <c r="P65" s="1">
        <f>31-613375148</f>
        <v>-613375117</v>
      </c>
      <c r="Q65" s="1">
        <v>2013</v>
      </c>
    </row>
    <row r="66" spans="1:17" s="1" customFormat="1" x14ac:dyDescent="0.25">
      <c r="A66" s="1" t="s">
        <v>15</v>
      </c>
      <c r="B66" s="1">
        <v>4303407</v>
      </c>
      <c r="C66" s="1" t="s">
        <v>4173</v>
      </c>
      <c r="D66" s="1" t="s">
        <v>4174</v>
      </c>
      <c r="E66" s="1" t="s">
        <v>4175</v>
      </c>
      <c r="I66" s="2">
        <v>34749</v>
      </c>
      <c r="J66" s="1" t="s">
        <v>19</v>
      </c>
      <c r="K66" s="1" t="s">
        <v>20</v>
      </c>
      <c r="L66" s="1" t="s">
        <v>4176</v>
      </c>
      <c r="M66" s="1" t="s">
        <v>4177</v>
      </c>
      <c r="N66" s="1" t="s">
        <v>23</v>
      </c>
      <c r="O66" s="1" t="s">
        <v>4178</v>
      </c>
      <c r="P66" s="1">
        <f>31-654796346</f>
        <v>-654796315</v>
      </c>
      <c r="Q66" s="1">
        <v>2013</v>
      </c>
    </row>
    <row r="67" spans="1:17" s="1" customFormat="1" x14ac:dyDescent="0.25">
      <c r="A67" s="1" t="s">
        <v>15</v>
      </c>
      <c r="B67" s="1">
        <v>4144333</v>
      </c>
      <c r="C67" s="1" t="s">
        <v>4179</v>
      </c>
      <c r="E67" s="1" t="s">
        <v>1413</v>
      </c>
      <c r="I67" s="2">
        <v>33994</v>
      </c>
      <c r="J67" s="1" t="s">
        <v>19</v>
      </c>
      <c r="K67" s="1" t="s">
        <v>20</v>
      </c>
      <c r="L67" s="1" t="s">
        <v>4180</v>
      </c>
      <c r="M67" s="1" t="s">
        <v>4181</v>
      </c>
      <c r="N67" s="1" t="s">
        <v>23</v>
      </c>
      <c r="O67" s="1" t="s">
        <v>4182</v>
      </c>
      <c r="P67" s="1">
        <f>31-615335333</f>
        <v>-615335302</v>
      </c>
      <c r="Q67" s="1">
        <v>2011</v>
      </c>
    </row>
    <row r="68" spans="1:17" s="1" customFormat="1" x14ac:dyDescent="0.25">
      <c r="A68" s="1" t="s">
        <v>15</v>
      </c>
      <c r="B68" s="1">
        <v>4313933</v>
      </c>
      <c r="C68" s="1" t="s">
        <v>4183</v>
      </c>
      <c r="D68" s="1" t="s">
        <v>4184</v>
      </c>
      <c r="E68" s="1" t="s">
        <v>4185</v>
      </c>
      <c r="I68" s="2">
        <v>32044</v>
      </c>
      <c r="J68" s="1" t="s">
        <v>4186</v>
      </c>
      <c r="K68" s="1" t="s">
        <v>20</v>
      </c>
      <c r="L68" s="1" t="s">
        <v>4187</v>
      </c>
      <c r="M68" s="1" t="s">
        <v>4188</v>
      </c>
      <c r="N68" s="1" t="s">
        <v>23</v>
      </c>
      <c r="O68" s="1" t="s">
        <v>4189</v>
      </c>
      <c r="P68" s="1">
        <f>31-614787821</f>
        <v>-614787790</v>
      </c>
      <c r="Q68" s="1">
        <v>2013</v>
      </c>
    </row>
    <row r="69" spans="1:17" s="1" customFormat="1" x14ac:dyDescent="0.25">
      <c r="A69" s="1" t="s">
        <v>45</v>
      </c>
      <c r="B69" s="1">
        <v>4291093</v>
      </c>
      <c r="C69" s="29" t="s">
        <v>5055</v>
      </c>
      <c r="D69" s="1" t="s">
        <v>5056</v>
      </c>
      <c r="E69" s="1" t="s">
        <v>5057</v>
      </c>
      <c r="I69" s="2">
        <v>35275</v>
      </c>
      <c r="J69" s="1" t="s">
        <v>137</v>
      </c>
      <c r="K69" s="1" t="s">
        <v>111</v>
      </c>
      <c r="L69" s="1" t="s">
        <v>5058</v>
      </c>
      <c r="M69" s="1" t="s">
        <v>5059</v>
      </c>
      <c r="N69" s="1" t="s">
        <v>140</v>
      </c>
      <c r="O69" s="1" t="s">
        <v>5060</v>
      </c>
      <c r="P69" s="1">
        <f>32-499732029</f>
        <v>-499731997</v>
      </c>
      <c r="Q69" s="1">
        <v>2013</v>
      </c>
    </row>
    <row r="70" spans="1:17" s="1" customFormat="1" x14ac:dyDescent="0.25">
      <c r="A70" s="1" t="s">
        <v>45</v>
      </c>
      <c r="B70" s="1">
        <v>4044843</v>
      </c>
      <c r="C70" s="29" t="s">
        <v>4190</v>
      </c>
      <c r="D70" s="1" t="s">
        <v>4191</v>
      </c>
      <c r="E70" s="1" t="s">
        <v>1614</v>
      </c>
      <c r="I70" s="2">
        <v>32770</v>
      </c>
      <c r="J70" s="1" t="s">
        <v>19</v>
      </c>
      <c r="K70" s="1" t="s">
        <v>20</v>
      </c>
      <c r="L70" s="1" t="s">
        <v>4192</v>
      </c>
      <c r="M70" s="1" t="s">
        <v>4193</v>
      </c>
      <c r="N70" s="1" t="s">
        <v>23</v>
      </c>
      <c r="O70" s="1" t="s">
        <v>4194</v>
      </c>
      <c r="P70" s="1">
        <f>31-624685902</f>
        <v>-624685871</v>
      </c>
      <c r="Q70" s="1">
        <v>2009</v>
      </c>
    </row>
    <row r="71" spans="1:17" s="1" customFormat="1" x14ac:dyDescent="0.25">
      <c r="A71" s="1" t="s">
        <v>15</v>
      </c>
      <c r="B71" s="1">
        <v>4271416</v>
      </c>
      <c r="C71" s="1" t="s">
        <v>2498</v>
      </c>
      <c r="D71" s="1" t="s">
        <v>4195</v>
      </c>
      <c r="E71" s="1" t="s">
        <v>2698</v>
      </c>
      <c r="I71" s="2">
        <v>34301</v>
      </c>
      <c r="J71" s="1" t="s">
        <v>19</v>
      </c>
      <c r="K71" s="1" t="s">
        <v>20</v>
      </c>
      <c r="L71" s="1" t="s">
        <v>4196</v>
      </c>
      <c r="M71" s="1" t="s">
        <v>4197</v>
      </c>
      <c r="N71" s="1" t="s">
        <v>23</v>
      </c>
      <c r="O71" s="1" t="s">
        <v>4198</v>
      </c>
      <c r="P71" s="1">
        <f>1-4086135428</f>
        <v>-4086135427</v>
      </c>
      <c r="Q71" s="1">
        <v>2013</v>
      </c>
    </row>
    <row r="72" spans="1:17" s="1" customFormat="1" x14ac:dyDescent="0.25">
      <c r="A72" s="1" t="s">
        <v>15</v>
      </c>
      <c r="B72" s="1">
        <v>4286294</v>
      </c>
      <c r="C72" s="1" t="s">
        <v>2498</v>
      </c>
      <c r="D72" s="1" t="s">
        <v>4199</v>
      </c>
      <c r="E72" s="1" t="s">
        <v>2809</v>
      </c>
      <c r="I72" s="2">
        <v>34635</v>
      </c>
      <c r="J72" s="1" t="s">
        <v>19</v>
      </c>
      <c r="K72" s="1" t="s">
        <v>20</v>
      </c>
      <c r="L72" s="1" t="s">
        <v>4200</v>
      </c>
      <c r="M72" s="1" t="s">
        <v>4201</v>
      </c>
      <c r="N72" s="1" t="s">
        <v>23</v>
      </c>
      <c r="O72" s="1" t="s">
        <v>4202</v>
      </c>
      <c r="P72" s="1">
        <f>31-620559420</f>
        <v>-620559389</v>
      </c>
      <c r="Q72" s="1">
        <v>2013</v>
      </c>
    </row>
    <row r="73" spans="1:17" s="1" customFormat="1" x14ac:dyDescent="0.25">
      <c r="A73" s="1" t="s">
        <v>45</v>
      </c>
      <c r="B73" s="1">
        <v>4195388</v>
      </c>
      <c r="C73" s="29" t="s">
        <v>4203</v>
      </c>
      <c r="D73" s="1" t="s">
        <v>4204</v>
      </c>
      <c r="E73" s="1" t="s">
        <v>4205</v>
      </c>
      <c r="I73" s="2">
        <v>33614</v>
      </c>
      <c r="J73" s="1" t="s">
        <v>19</v>
      </c>
      <c r="K73" s="1" t="s">
        <v>20</v>
      </c>
      <c r="L73" s="1" t="s">
        <v>4206</v>
      </c>
      <c r="M73" s="1" t="s">
        <v>4207</v>
      </c>
      <c r="N73" s="1" t="s">
        <v>23</v>
      </c>
      <c r="O73" s="1" t="s">
        <v>4208</v>
      </c>
      <c r="P73" s="1">
        <f>31-634325855</f>
        <v>-634325824</v>
      </c>
      <c r="Q73" s="1">
        <v>2012</v>
      </c>
    </row>
    <row r="74" spans="1:17" s="1" customFormat="1" x14ac:dyDescent="0.25">
      <c r="A74" s="1" t="s">
        <v>15</v>
      </c>
      <c r="B74" s="1">
        <v>4304853</v>
      </c>
      <c r="C74" s="1" t="s">
        <v>4209</v>
      </c>
      <c r="D74" s="1" t="s">
        <v>4210</v>
      </c>
      <c r="E74" s="1" t="s">
        <v>4211</v>
      </c>
      <c r="I74" s="2">
        <v>34565</v>
      </c>
      <c r="J74" s="1" t="s">
        <v>19</v>
      </c>
      <c r="K74" s="1" t="s">
        <v>20</v>
      </c>
      <c r="L74" s="1" t="s">
        <v>4212</v>
      </c>
      <c r="M74" s="1" t="s">
        <v>4213</v>
      </c>
      <c r="N74" s="1" t="s">
        <v>23</v>
      </c>
      <c r="O74" s="1" t="s">
        <v>4214</v>
      </c>
      <c r="P74" s="1">
        <f>31-629987994</f>
        <v>-629987963</v>
      </c>
      <c r="Q74" s="1">
        <v>2013</v>
      </c>
    </row>
    <row r="75" spans="1:17" s="1" customFormat="1" x14ac:dyDescent="0.25">
      <c r="A75" s="1" t="s">
        <v>15</v>
      </c>
      <c r="B75" s="1">
        <v>4280253</v>
      </c>
      <c r="C75" s="1" t="s">
        <v>4215</v>
      </c>
      <c r="D75" s="1" t="s">
        <v>4216</v>
      </c>
      <c r="E75" s="1" t="s">
        <v>4217</v>
      </c>
      <c r="I75" s="2">
        <v>34770</v>
      </c>
      <c r="J75" s="1" t="s">
        <v>19</v>
      </c>
      <c r="K75" s="1" t="s">
        <v>20</v>
      </c>
      <c r="L75" s="1" t="s">
        <v>4218</v>
      </c>
      <c r="M75" s="1" t="s">
        <v>4219</v>
      </c>
      <c r="N75" s="1" t="s">
        <v>23</v>
      </c>
      <c r="O75" s="1" t="s">
        <v>4220</v>
      </c>
      <c r="P75" s="1">
        <f>31-634170578</f>
        <v>-634170547</v>
      </c>
      <c r="Q75" s="1">
        <v>2013</v>
      </c>
    </row>
    <row r="76" spans="1:17" s="1" customFormat="1" x14ac:dyDescent="0.25">
      <c r="A76" s="1" t="s">
        <v>45</v>
      </c>
      <c r="B76" s="1">
        <v>4304500</v>
      </c>
      <c r="C76" s="29" t="s">
        <v>2880</v>
      </c>
      <c r="D76" s="1" t="s">
        <v>4221</v>
      </c>
      <c r="E76" s="1" t="s">
        <v>585</v>
      </c>
      <c r="I76" s="2">
        <v>34223</v>
      </c>
      <c r="J76" s="1" t="s">
        <v>19</v>
      </c>
      <c r="K76" s="1" t="s">
        <v>20</v>
      </c>
      <c r="L76" s="1" t="s">
        <v>4222</v>
      </c>
      <c r="M76" s="1" t="s">
        <v>4223</v>
      </c>
      <c r="N76" s="1" t="s">
        <v>23</v>
      </c>
      <c r="O76" s="1" t="s">
        <v>4224</v>
      </c>
      <c r="P76" s="1">
        <f>31-624249685</f>
        <v>-624249654</v>
      </c>
      <c r="Q76" s="1">
        <v>2013</v>
      </c>
    </row>
    <row r="77" spans="1:17" s="1" customFormat="1" x14ac:dyDescent="0.25">
      <c r="A77" s="1" t="s">
        <v>45</v>
      </c>
      <c r="B77" s="1">
        <v>4333667</v>
      </c>
      <c r="C77" s="29" t="s">
        <v>4225</v>
      </c>
      <c r="D77" s="1" t="s">
        <v>4226</v>
      </c>
      <c r="E77" s="1" t="s">
        <v>998</v>
      </c>
      <c r="I77" s="2">
        <v>33712</v>
      </c>
      <c r="J77" s="1" t="s">
        <v>19</v>
      </c>
      <c r="K77" s="1" t="s">
        <v>20</v>
      </c>
      <c r="L77" s="1" t="s">
        <v>4227</v>
      </c>
      <c r="M77" s="1" t="s">
        <v>4228</v>
      </c>
      <c r="N77" s="1" t="s">
        <v>23</v>
      </c>
      <c r="O77" s="1" t="s">
        <v>4229</v>
      </c>
      <c r="P77" s="1">
        <f>31-658719013</f>
        <v>-658718982</v>
      </c>
      <c r="Q77" s="1">
        <v>2013</v>
      </c>
    </row>
    <row r="78" spans="1:17" s="1" customFormat="1" x14ac:dyDescent="0.25">
      <c r="A78" s="1" t="s">
        <v>15</v>
      </c>
      <c r="B78" s="1">
        <v>4288300</v>
      </c>
      <c r="C78" s="1" t="s">
        <v>4235</v>
      </c>
      <c r="D78" s="1" t="s">
        <v>4236</v>
      </c>
      <c r="E78" s="1" t="s">
        <v>4237</v>
      </c>
      <c r="I78" s="2">
        <v>34576</v>
      </c>
      <c r="J78" s="1" t="s">
        <v>4238</v>
      </c>
      <c r="K78" s="1" t="s">
        <v>20</v>
      </c>
      <c r="L78" s="1" t="s">
        <v>4239</v>
      </c>
      <c r="M78" s="1" t="s">
        <v>4240</v>
      </c>
      <c r="N78" s="1" t="s">
        <v>2217</v>
      </c>
      <c r="O78" s="1" t="s">
        <v>4241</v>
      </c>
      <c r="P78" s="1">
        <f>49-1724902564</f>
        <v>-1724902515</v>
      </c>
      <c r="Q78" s="1">
        <v>2013</v>
      </c>
    </row>
    <row r="79" spans="1:17" s="1" customFormat="1" x14ac:dyDescent="0.25">
      <c r="A79" s="1" t="s">
        <v>15</v>
      </c>
      <c r="B79" s="1">
        <v>4322967</v>
      </c>
      <c r="C79" s="1" t="s">
        <v>4242</v>
      </c>
      <c r="D79" s="1" t="s">
        <v>4243</v>
      </c>
      <c r="E79" s="1" t="s">
        <v>3773</v>
      </c>
      <c r="I79" s="2">
        <v>34317</v>
      </c>
      <c r="J79" s="1" t="s">
        <v>19</v>
      </c>
      <c r="K79" s="1" t="s">
        <v>20</v>
      </c>
      <c r="L79" s="1" t="s">
        <v>4244</v>
      </c>
      <c r="M79" s="1" t="s">
        <v>4245</v>
      </c>
      <c r="N79" s="1" t="s">
        <v>23</v>
      </c>
      <c r="O79" s="1" t="s">
        <v>4246</v>
      </c>
      <c r="P79" s="1">
        <f>31-641946400</f>
        <v>-641946369</v>
      </c>
      <c r="Q79" s="1">
        <v>2013</v>
      </c>
    </row>
    <row r="80" spans="1:17" s="1" customFormat="1" x14ac:dyDescent="0.25">
      <c r="A80" s="1" t="s">
        <v>15</v>
      </c>
      <c r="B80" s="1">
        <v>4299728</v>
      </c>
      <c r="C80" s="1" t="s">
        <v>5061</v>
      </c>
      <c r="D80" s="1" t="s">
        <v>5062</v>
      </c>
      <c r="E80" s="1" t="s">
        <v>5063</v>
      </c>
      <c r="I80" s="2">
        <v>34744</v>
      </c>
      <c r="J80" s="1" t="s">
        <v>19</v>
      </c>
      <c r="K80" s="1" t="s">
        <v>111</v>
      </c>
      <c r="L80" s="1" t="s">
        <v>5064</v>
      </c>
      <c r="M80" s="1" t="s">
        <v>5065</v>
      </c>
      <c r="N80" s="1" t="s">
        <v>23</v>
      </c>
      <c r="O80" s="1" t="s">
        <v>5066</v>
      </c>
      <c r="P80" s="1">
        <f>31-612043229</f>
        <v>-612043198</v>
      </c>
      <c r="Q80" s="1">
        <v>2013</v>
      </c>
    </row>
    <row r="81" spans="1:17" s="1" customFormat="1" x14ac:dyDescent="0.25">
      <c r="A81" s="1" t="s">
        <v>45</v>
      </c>
      <c r="B81" s="1">
        <v>4235959</v>
      </c>
      <c r="C81" s="29" t="s">
        <v>4259</v>
      </c>
      <c r="D81" s="1" t="s">
        <v>4260</v>
      </c>
      <c r="E81" s="1" t="s">
        <v>242</v>
      </c>
      <c r="I81" s="2">
        <v>34456</v>
      </c>
      <c r="J81" s="1" t="s">
        <v>19</v>
      </c>
      <c r="K81" s="1" t="s">
        <v>20</v>
      </c>
      <c r="L81" s="1" t="s">
        <v>4261</v>
      </c>
      <c r="M81" s="1" t="s">
        <v>4262</v>
      </c>
      <c r="N81" s="1" t="s">
        <v>23</v>
      </c>
      <c r="O81" s="1" t="s">
        <v>4263</v>
      </c>
      <c r="P81" s="1">
        <f>31-642123473</f>
        <v>-642123442</v>
      </c>
      <c r="Q81" s="1">
        <v>2012</v>
      </c>
    </row>
    <row r="82" spans="1:17" s="1" customFormat="1" x14ac:dyDescent="0.25">
      <c r="A82" s="1" t="s">
        <v>45</v>
      </c>
      <c r="B82" s="1">
        <v>4272889</v>
      </c>
      <c r="C82" s="29" t="s">
        <v>4275</v>
      </c>
      <c r="D82" s="1" t="s">
        <v>4276</v>
      </c>
      <c r="E82" s="1" t="s">
        <v>4277</v>
      </c>
      <c r="I82" s="2">
        <v>34687</v>
      </c>
      <c r="J82" s="1" t="s">
        <v>19</v>
      </c>
      <c r="K82" s="1" t="s">
        <v>20</v>
      </c>
      <c r="L82" s="1" t="s">
        <v>4278</v>
      </c>
      <c r="M82" s="1" t="s">
        <v>4279</v>
      </c>
      <c r="N82" s="1" t="s">
        <v>23</v>
      </c>
      <c r="O82" s="1" t="s">
        <v>4280</v>
      </c>
      <c r="P82" s="1">
        <f>31-652208499</f>
        <v>-652208468</v>
      </c>
      <c r="Q82" s="1">
        <v>2013</v>
      </c>
    </row>
    <row r="83" spans="1:17" s="1" customFormat="1" x14ac:dyDescent="0.25">
      <c r="A83" s="1" t="s">
        <v>15</v>
      </c>
      <c r="B83" s="1">
        <v>4290364</v>
      </c>
      <c r="C83" s="1" t="s">
        <v>5067</v>
      </c>
      <c r="D83" s="1" t="s">
        <v>5068</v>
      </c>
      <c r="E83" s="1" t="s">
        <v>5069</v>
      </c>
      <c r="I83" s="2">
        <v>33879</v>
      </c>
      <c r="J83" s="1" t="s">
        <v>19</v>
      </c>
      <c r="K83" s="1" t="s">
        <v>111</v>
      </c>
      <c r="L83" s="1" t="s">
        <v>5070</v>
      </c>
      <c r="M83" s="1" t="s">
        <v>5071</v>
      </c>
      <c r="N83" s="1" t="s">
        <v>23</v>
      </c>
      <c r="O83" s="1" t="s">
        <v>5072</v>
      </c>
      <c r="P83" s="1">
        <f>31-641449460</f>
        <v>-641449429</v>
      </c>
      <c r="Q83" s="1">
        <v>2013</v>
      </c>
    </row>
    <row r="84" spans="1:17" s="1" customFormat="1" x14ac:dyDescent="0.25">
      <c r="A84" s="1" t="s">
        <v>15</v>
      </c>
      <c r="B84" s="1">
        <v>4282655</v>
      </c>
      <c r="C84" s="1" t="s">
        <v>5073</v>
      </c>
      <c r="D84" s="1" t="s">
        <v>5074</v>
      </c>
      <c r="E84" s="1" t="s">
        <v>5075</v>
      </c>
      <c r="I84" s="2">
        <v>34690</v>
      </c>
      <c r="J84" s="1" t="s">
        <v>19</v>
      </c>
      <c r="K84" s="1" t="s">
        <v>111</v>
      </c>
      <c r="L84" s="1" t="s">
        <v>5076</v>
      </c>
      <c r="M84" s="1" t="s">
        <v>5077</v>
      </c>
      <c r="N84" s="1" t="s">
        <v>23</v>
      </c>
      <c r="O84" s="1" t="s">
        <v>5078</v>
      </c>
      <c r="P84" s="1">
        <f>31-621992802</f>
        <v>-621992771</v>
      </c>
      <c r="Q84" s="1">
        <v>2013</v>
      </c>
    </row>
    <row r="85" spans="1:17" s="1" customFormat="1" x14ac:dyDescent="0.25">
      <c r="A85" s="1" t="s">
        <v>15</v>
      </c>
      <c r="B85" s="1">
        <v>4290232</v>
      </c>
      <c r="C85" s="1" t="s">
        <v>4295</v>
      </c>
      <c r="D85" s="1" t="s">
        <v>4296</v>
      </c>
      <c r="E85" s="1" t="s">
        <v>289</v>
      </c>
      <c r="I85" s="2">
        <v>34376</v>
      </c>
      <c r="J85" s="1" t="s">
        <v>19</v>
      </c>
      <c r="K85" s="1" t="s">
        <v>20</v>
      </c>
      <c r="L85" s="1" t="s">
        <v>4297</v>
      </c>
      <c r="M85" s="1" t="s">
        <v>4298</v>
      </c>
      <c r="N85" s="1" t="s">
        <v>23</v>
      </c>
      <c r="O85" s="1" t="s">
        <v>4299</v>
      </c>
      <c r="Q85" s="1">
        <v>2013</v>
      </c>
    </row>
    <row r="86" spans="1:17" s="1" customFormat="1" x14ac:dyDescent="0.25">
      <c r="A86" s="1" t="s">
        <v>15</v>
      </c>
      <c r="B86" s="1">
        <v>4303717</v>
      </c>
      <c r="C86" s="1" t="s">
        <v>4295</v>
      </c>
      <c r="D86" s="1" t="s">
        <v>4300</v>
      </c>
      <c r="E86" s="1" t="s">
        <v>4081</v>
      </c>
      <c r="I86" s="2">
        <v>34865</v>
      </c>
      <c r="J86" s="1" t="s">
        <v>19</v>
      </c>
      <c r="K86" s="1" t="s">
        <v>20</v>
      </c>
      <c r="L86" s="1" t="s">
        <v>4301</v>
      </c>
      <c r="M86" s="1" t="s">
        <v>4302</v>
      </c>
      <c r="N86" s="1" t="s">
        <v>23</v>
      </c>
      <c r="O86" s="1" t="s">
        <v>4303</v>
      </c>
      <c r="P86" s="1">
        <f>31-620960312</f>
        <v>-620960281</v>
      </c>
      <c r="Q86" s="1">
        <v>2013</v>
      </c>
    </row>
    <row r="87" spans="1:17" s="1" customFormat="1" x14ac:dyDescent="0.25">
      <c r="A87" s="1" t="s">
        <v>15</v>
      </c>
      <c r="B87" s="1">
        <v>4281195</v>
      </c>
      <c r="C87" s="1" t="s">
        <v>4304</v>
      </c>
      <c r="D87" s="1" t="s">
        <v>4305</v>
      </c>
      <c r="E87" s="1" t="s">
        <v>156</v>
      </c>
      <c r="I87" s="2">
        <v>34746</v>
      </c>
      <c r="J87" s="1" t="s">
        <v>19</v>
      </c>
      <c r="K87" s="1" t="s">
        <v>20</v>
      </c>
      <c r="L87" s="1" t="s">
        <v>4306</v>
      </c>
      <c r="M87" s="1" t="s">
        <v>4307</v>
      </c>
      <c r="N87" s="1" t="s">
        <v>23</v>
      </c>
      <c r="O87" s="1" t="s">
        <v>4308</v>
      </c>
      <c r="P87" s="1">
        <f>31-655577501</f>
        <v>-655577470</v>
      </c>
      <c r="Q87" s="1">
        <v>2013</v>
      </c>
    </row>
    <row r="88" spans="1:17" s="1" customFormat="1" x14ac:dyDescent="0.25">
      <c r="A88" s="1" t="s">
        <v>15</v>
      </c>
      <c r="B88" s="1">
        <v>4076443</v>
      </c>
      <c r="C88" s="1" t="s">
        <v>4309</v>
      </c>
      <c r="D88" s="1" t="s">
        <v>4310</v>
      </c>
      <c r="E88" s="1" t="s">
        <v>2909</v>
      </c>
      <c r="I88" s="2">
        <v>33731</v>
      </c>
      <c r="J88" s="1" t="s">
        <v>19</v>
      </c>
      <c r="K88" s="1" t="s">
        <v>20</v>
      </c>
      <c r="L88" s="1" t="s">
        <v>4311</v>
      </c>
      <c r="M88" s="1" t="s">
        <v>4312</v>
      </c>
      <c r="N88" s="1" t="s">
        <v>23</v>
      </c>
      <c r="O88" s="1" t="s">
        <v>4313</v>
      </c>
      <c r="P88" s="1">
        <f>31-641253353</f>
        <v>-641253322</v>
      </c>
      <c r="Q88" s="1">
        <v>2010</v>
      </c>
    </row>
    <row r="89" spans="1:17" s="1" customFormat="1" x14ac:dyDescent="0.25">
      <c r="A89" s="1" t="s">
        <v>45</v>
      </c>
      <c r="B89" s="1">
        <v>4322126</v>
      </c>
      <c r="C89" s="29" t="s">
        <v>3426</v>
      </c>
      <c r="D89" s="1" t="s">
        <v>4314</v>
      </c>
      <c r="E89" s="1" t="s">
        <v>4315</v>
      </c>
      <c r="I89" s="2">
        <v>21929</v>
      </c>
      <c r="J89" s="1" t="s">
        <v>19</v>
      </c>
      <c r="K89" s="1" t="s">
        <v>20</v>
      </c>
      <c r="L89" s="1" t="s">
        <v>4316</v>
      </c>
      <c r="M89" s="1" t="s">
        <v>4317</v>
      </c>
      <c r="N89" s="1" t="s">
        <v>23</v>
      </c>
      <c r="O89" s="1" t="s">
        <v>4318</v>
      </c>
      <c r="P89" s="1">
        <f>31-620763311</f>
        <v>-620763280</v>
      </c>
      <c r="Q89" s="1">
        <v>2013</v>
      </c>
    </row>
    <row r="90" spans="1:17" s="1" customFormat="1" x14ac:dyDescent="0.25">
      <c r="A90" s="1" t="s">
        <v>15</v>
      </c>
      <c r="B90" s="1">
        <v>4306597</v>
      </c>
      <c r="C90" s="1" t="s">
        <v>4319</v>
      </c>
      <c r="D90" s="1" t="s">
        <v>4320</v>
      </c>
      <c r="E90" s="1" t="s">
        <v>242</v>
      </c>
      <c r="I90" s="2">
        <v>34807</v>
      </c>
      <c r="J90" s="1" t="s">
        <v>19</v>
      </c>
      <c r="K90" s="1" t="s">
        <v>20</v>
      </c>
      <c r="L90" s="1" t="s">
        <v>4321</v>
      </c>
      <c r="M90" s="1" t="s">
        <v>4322</v>
      </c>
      <c r="N90" s="1" t="s">
        <v>23</v>
      </c>
      <c r="O90" s="1" t="s">
        <v>4323</v>
      </c>
      <c r="P90" s="1">
        <f>31-610460059</f>
        <v>-610460028</v>
      </c>
      <c r="Q90" s="1">
        <v>2013</v>
      </c>
    </row>
    <row r="91" spans="1:17" s="1" customFormat="1" x14ac:dyDescent="0.25">
      <c r="A91" s="1" t="s">
        <v>15</v>
      </c>
      <c r="B91" s="1">
        <v>4157605</v>
      </c>
      <c r="C91" s="1" t="s">
        <v>4340</v>
      </c>
      <c r="D91" s="1" t="s">
        <v>4341</v>
      </c>
      <c r="E91" s="1" t="s">
        <v>483</v>
      </c>
      <c r="I91" s="2">
        <v>33561</v>
      </c>
      <c r="J91" s="1" t="s">
        <v>19</v>
      </c>
      <c r="K91" s="1" t="s">
        <v>20</v>
      </c>
      <c r="L91" s="1" t="s">
        <v>4342</v>
      </c>
      <c r="M91" s="1" t="s">
        <v>4343</v>
      </c>
      <c r="N91" s="1" t="s">
        <v>23</v>
      </c>
      <c r="O91" s="1" t="s">
        <v>4344</v>
      </c>
      <c r="P91" s="1">
        <f>31-620932891</f>
        <v>-620932860</v>
      </c>
      <c r="Q91" s="1">
        <v>2012</v>
      </c>
    </row>
    <row r="92" spans="1:17" s="1" customFormat="1" x14ac:dyDescent="0.25">
      <c r="A92" s="1" t="s">
        <v>15</v>
      </c>
      <c r="B92" s="1">
        <v>4322290</v>
      </c>
      <c r="C92" s="1" t="s">
        <v>5085</v>
      </c>
      <c r="D92" s="1" t="s">
        <v>5086</v>
      </c>
      <c r="E92" s="1" t="s">
        <v>5087</v>
      </c>
      <c r="I92" s="2">
        <v>34423</v>
      </c>
      <c r="J92" s="1" t="s">
        <v>5088</v>
      </c>
      <c r="K92" s="1" t="s">
        <v>111</v>
      </c>
      <c r="L92" s="1" t="s">
        <v>5089</v>
      </c>
      <c r="M92" s="1" t="s">
        <v>5090</v>
      </c>
      <c r="N92" s="1" t="s">
        <v>5091</v>
      </c>
      <c r="O92" s="1" t="s">
        <v>5092</v>
      </c>
      <c r="P92" s="1">
        <f>55-8189732222</f>
        <v>-8189732167</v>
      </c>
      <c r="Q92" s="1">
        <v>2013</v>
      </c>
    </row>
    <row r="93" spans="1:17" s="1" customFormat="1" x14ac:dyDescent="0.25">
      <c r="A93" s="1" t="s">
        <v>15</v>
      </c>
      <c r="B93" s="1">
        <v>4309804</v>
      </c>
      <c r="C93" s="1" t="s">
        <v>4345</v>
      </c>
      <c r="D93" s="1" t="s">
        <v>4346</v>
      </c>
      <c r="E93" s="1" t="s">
        <v>4347</v>
      </c>
      <c r="I93" s="2">
        <v>32934</v>
      </c>
      <c r="J93" s="1" t="s">
        <v>19</v>
      </c>
      <c r="K93" s="1" t="s">
        <v>20</v>
      </c>
      <c r="L93" s="1" t="s">
        <v>4348</v>
      </c>
      <c r="M93" s="1" t="s">
        <v>4349</v>
      </c>
      <c r="N93" s="1" t="s">
        <v>23</v>
      </c>
      <c r="O93" s="1" t="s">
        <v>4350</v>
      </c>
      <c r="P93" s="1">
        <f>31-686401804</f>
        <v>-686401773</v>
      </c>
      <c r="Q93" s="1">
        <v>2013</v>
      </c>
    </row>
    <row r="94" spans="1:17" s="1" customFormat="1" x14ac:dyDescent="0.25">
      <c r="A94" s="1" t="s">
        <v>45</v>
      </c>
      <c r="B94" s="1">
        <v>4291700</v>
      </c>
      <c r="C94" s="29" t="s">
        <v>4351</v>
      </c>
      <c r="D94" s="1" t="s">
        <v>4352</v>
      </c>
      <c r="E94" s="1" t="s">
        <v>4353</v>
      </c>
      <c r="I94" s="2">
        <v>34942</v>
      </c>
      <c r="J94" s="1" t="s">
        <v>742</v>
      </c>
      <c r="K94" s="1" t="s">
        <v>20</v>
      </c>
      <c r="L94" s="1" t="s">
        <v>4354</v>
      </c>
      <c r="M94" s="1" t="s">
        <v>4355</v>
      </c>
      <c r="N94" s="1" t="s">
        <v>4356</v>
      </c>
      <c r="O94" s="1" t="s">
        <v>4357</v>
      </c>
      <c r="P94" s="1">
        <f>62-817745035</f>
        <v>-817744973</v>
      </c>
      <c r="Q94" s="1">
        <v>2013</v>
      </c>
    </row>
    <row r="95" spans="1:17" s="1" customFormat="1" x14ac:dyDescent="0.25">
      <c r="A95" s="1" t="s">
        <v>15</v>
      </c>
      <c r="B95" s="1">
        <v>4288823</v>
      </c>
      <c r="C95" s="1" t="s">
        <v>3520</v>
      </c>
      <c r="D95" s="1" t="s">
        <v>4358</v>
      </c>
      <c r="E95" s="1" t="s">
        <v>34</v>
      </c>
      <c r="I95" s="2">
        <v>34471</v>
      </c>
      <c r="J95" s="1" t="s">
        <v>19</v>
      </c>
      <c r="K95" s="1" t="s">
        <v>20</v>
      </c>
      <c r="L95" s="1" t="s">
        <v>4359</v>
      </c>
      <c r="M95" s="1" t="s">
        <v>4360</v>
      </c>
      <c r="N95" s="1" t="s">
        <v>23</v>
      </c>
      <c r="O95" s="1" t="s">
        <v>4361</v>
      </c>
      <c r="Q95" s="1">
        <v>2013</v>
      </c>
    </row>
    <row r="96" spans="1:17" s="1" customFormat="1" x14ac:dyDescent="0.25">
      <c r="A96" s="1" t="s">
        <v>45</v>
      </c>
      <c r="B96" s="1">
        <v>4148045</v>
      </c>
      <c r="C96" s="29" t="s">
        <v>4362</v>
      </c>
      <c r="D96" s="1" t="s">
        <v>4363</v>
      </c>
      <c r="E96" s="1" t="s">
        <v>4364</v>
      </c>
      <c r="I96" s="2">
        <v>34500</v>
      </c>
      <c r="J96" s="1" t="s">
        <v>19</v>
      </c>
      <c r="K96" s="1" t="s">
        <v>20</v>
      </c>
      <c r="L96" s="1" t="s">
        <v>4365</v>
      </c>
      <c r="M96" s="1" t="s">
        <v>4366</v>
      </c>
      <c r="N96" s="1" t="s">
        <v>23</v>
      </c>
      <c r="O96" s="1" t="s">
        <v>4367</v>
      </c>
      <c r="P96" s="1">
        <f>31-683056348</f>
        <v>-683056317</v>
      </c>
      <c r="Q96" s="1">
        <v>2011</v>
      </c>
    </row>
    <row r="97" spans="1:17" s="1" customFormat="1" x14ac:dyDescent="0.25">
      <c r="A97" s="1" t="s">
        <v>15</v>
      </c>
      <c r="B97" s="1">
        <v>4291506</v>
      </c>
      <c r="C97" s="1" t="s">
        <v>321</v>
      </c>
      <c r="D97" s="1" t="s">
        <v>4368</v>
      </c>
      <c r="E97" s="1" t="s">
        <v>271</v>
      </c>
      <c r="I97" s="2">
        <v>34385</v>
      </c>
      <c r="J97" s="1" t="s">
        <v>19</v>
      </c>
      <c r="K97" s="1" t="s">
        <v>20</v>
      </c>
      <c r="L97" s="1" t="s">
        <v>4369</v>
      </c>
      <c r="M97" s="1" t="s">
        <v>4370</v>
      </c>
      <c r="N97" s="1" t="s">
        <v>23</v>
      </c>
      <c r="O97" s="1" t="s">
        <v>4371</v>
      </c>
      <c r="P97" s="1">
        <f>31-681177955</f>
        <v>-681177924</v>
      </c>
      <c r="Q97" s="1">
        <v>2013</v>
      </c>
    </row>
    <row r="98" spans="1:17" s="1" customFormat="1" x14ac:dyDescent="0.25">
      <c r="A98" s="1" t="s">
        <v>15</v>
      </c>
      <c r="B98" s="1">
        <v>4310314</v>
      </c>
      <c r="C98" s="1" t="s">
        <v>4377</v>
      </c>
      <c r="D98" s="1" t="s">
        <v>4378</v>
      </c>
      <c r="E98" s="1" t="s">
        <v>443</v>
      </c>
      <c r="I98" s="2">
        <v>34550</v>
      </c>
      <c r="J98" s="1" t="s">
        <v>19</v>
      </c>
      <c r="K98" s="1" t="s">
        <v>20</v>
      </c>
      <c r="L98" s="1" t="s">
        <v>4379</v>
      </c>
      <c r="M98" s="1" t="s">
        <v>4380</v>
      </c>
      <c r="N98" s="1" t="s">
        <v>23</v>
      </c>
      <c r="O98" s="1" t="s">
        <v>4381</v>
      </c>
      <c r="P98" s="1">
        <f>31-650933566</f>
        <v>-650933535</v>
      </c>
      <c r="Q98" s="1">
        <v>2013</v>
      </c>
    </row>
    <row r="99" spans="1:17" s="1" customFormat="1" x14ac:dyDescent="0.25">
      <c r="A99" s="1" t="s">
        <v>15</v>
      </c>
      <c r="B99" s="1">
        <v>4306740</v>
      </c>
      <c r="C99" s="1" t="s">
        <v>849</v>
      </c>
      <c r="D99" s="1" t="s">
        <v>4382</v>
      </c>
      <c r="E99" s="1" t="s">
        <v>4383</v>
      </c>
      <c r="I99" s="2">
        <v>34907</v>
      </c>
      <c r="J99" s="1" t="s">
        <v>19</v>
      </c>
      <c r="K99" s="1" t="s">
        <v>20</v>
      </c>
      <c r="L99" s="1" t="s">
        <v>4384</v>
      </c>
      <c r="M99" s="1" t="s">
        <v>4385</v>
      </c>
      <c r="N99" s="1" t="s">
        <v>3876</v>
      </c>
      <c r="O99" s="1" t="s">
        <v>4386</v>
      </c>
      <c r="P99" s="1">
        <f>1-4152725324</f>
        <v>-4152725323</v>
      </c>
      <c r="Q99" s="1">
        <v>2013</v>
      </c>
    </row>
    <row r="100" spans="1:17" s="1" customFormat="1" x14ac:dyDescent="0.25">
      <c r="A100" s="1" t="s">
        <v>15</v>
      </c>
      <c r="B100" s="1">
        <v>4292162</v>
      </c>
      <c r="C100" s="1" t="s">
        <v>4387</v>
      </c>
      <c r="D100" s="1" t="s">
        <v>4388</v>
      </c>
      <c r="E100" s="1" t="s">
        <v>4389</v>
      </c>
      <c r="I100" s="2">
        <v>34743</v>
      </c>
      <c r="J100" s="1" t="s">
        <v>19</v>
      </c>
      <c r="K100" s="1" t="s">
        <v>20</v>
      </c>
      <c r="L100" s="1" t="s">
        <v>4390</v>
      </c>
      <c r="M100" s="1" t="s">
        <v>4391</v>
      </c>
      <c r="N100" s="1" t="s">
        <v>23</v>
      </c>
      <c r="O100" s="1" t="s">
        <v>4392</v>
      </c>
      <c r="P100" s="1">
        <f>31-627487638</f>
        <v>-627487607</v>
      </c>
      <c r="Q100" s="1">
        <v>2013</v>
      </c>
    </row>
    <row r="101" spans="1:17" s="1" customFormat="1" x14ac:dyDescent="0.25">
      <c r="A101" s="1" t="s">
        <v>15</v>
      </c>
      <c r="B101" s="1">
        <v>4269470</v>
      </c>
      <c r="C101" s="1" t="s">
        <v>2885</v>
      </c>
      <c r="D101" s="1" t="s">
        <v>4393</v>
      </c>
      <c r="E101" s="1" t="s">
        <v>1901</v>
      </c>
      <c r="I101" s="2">
        <v>34731</v>
      </c>
      <c r="J101" s="1" t="s">
        <v>19</v>
      </c>
      <c r="K101" s="1" t="s">
        <v>20</v>
      </c>
      <c r="L101" s="1" t="s">
        <v>4394</v>
      </c>
      <c r="M101" s="1" t="s">
        <v>4395</v>
      </c>
      <c r="N101" s="1" t="s">
        <v>23</v>
      </c>
      <c r="O101" s="1" t="s">
        <v>4396</v>
      </c>
      <c r="P101" s="1">
        <f>31-643530975</f>
        <v>-643530944</v>
      </c>
      <c r="Q101" s="1">
        <v>2013</v>
      </c>
    </row>
    <row r="102" spans="1:17" s="1" customFormat="1" x14ac:dyDescent="0.25">
      <c r="A102" s="1" t="s">
        <v>15</v>
      </c>
      <c r="B102" s="1">
        <v>4195124</v>
      </c>
      <c r="C102" s="1" t="s">
        <v>4397</v>
      </c>
      <c r="D102" s="1" t="s">
        <v>4398</v>
      </c>
      <c r="E102" s="1" t="s">
        <v>2963</v>
      </c>
      <c r="I102" s="2">
        <v>34534</v>
      </c>
      <c r="J102" s="1" t="s">
        <v>19</v>
      </c>
      <c r="K102" s="1" t="s">
        <v>20</v>
      </c>
      <c r="L102" s="1" t="s">
        <v>4399</v>
      </c>
      <c r="M102" s="1" t="s">
        <v>4400</v>
      </c>
      <c r="N102" s="1" t="s">
        <v>23</v>
      </c>
      <c r="O102" s="1" t="s">
        <v>4401</v>
      </c>
      <c r="P102" s="1">
        <f>31-600000000</f>
        <v>-599999969</v>
      </c>
      <c r="Q102" s="1">
        <v>2012</v>
      </c>
    </row>
    <row r="103" spans="1:17" s="1" customFormat="1" x14ac:dyDescent="0.25">
      <c r="A103" s="1" t="s">
        <v>15</v>
      </c>
      <c r="B103" s="1">
        <v>4299167</v>
      </c>
      <c r="C103" s="1" t="s">
        <v>4402</v>
      </c>
      <c r="D103" s="1" t="s">
        <v>4403</v>
      </c>
      <c r="E103" s="1" t="s">
        <v>1495</v>
      </c>
      <c r="I103" s="2">
        <v>34784</v>
      </c>
      <c r="J103" s="1" t="s">
        <v>19</v>
      </c>
      <c r="K103" s="1" t="s">
        <v>20</v>
      </c>
      <c r="L103" s="1" t="s">
        <v>4404</v>
      </c>
      <c r="M103" s="1" t="s">
        <v>4405</v>
      </c>
      <c r="N103" s="1" t="s">
        <v>23</v>
      </c>
      <c r="O103" s="1" t="s">
        <v>4406</v>
      </c>
      <c r="P103" s="1">
        <f>31-648187817</f>
        <v>-648187786</v>
      </c>
      <c r="Q103" s="1">
        <v>2013</v>
      </c>
    </row>
    <row r="104" spans="1:17" s="1" customFormat="1" x14ac:dyDescent="0.25">
      <c r="A104" s="1" t="s">
        <v>45</v>
      </c>
      <c r="B104" s="1">
        <v>4267044</v>
      </c>
      <c r="C104" s="29" t="s">
        <v>4411</v>
      </c>
      <c r="D104" s="1" t="s">
        <v>4412</v>
      </c>
      <c r="E104" s="1" t="s">
        <v>242</v>
      </c>
      <c r="I104" s="2">
        <v>34755</v>
      </c>
      <c r="J104" s="1" t="s">
        <v>19</v>
      </c>
      <c r="K104" s="1" t="s">
        <v>20</v>
      </c>
      <c r="L104" s="1" t="s">
        <v>4413</v>
      </c>
      <c r="M104" s="1" t="s">
        <v>4414</v>
      </c>
      <c r="N104" s="1" t="s">
        <v>23</v>
      </c>
      <c r="O104" s="1" t="s">
        <v>4415</v>
      </c>
      <c r="P104" s="1">
        <f>31-623428941</f>
        <v>-623428910</v>
      </c>
      <c r="Q104" s="1">
        <v>2013</v>
      </c>
    </row>
    <row r="105" spans="1:17" s="1" customFormat="1" x14ac:dyDescent="0.25">
      <c r="A105" s="1" t="s">
        <v>15</v>
      </c>
      <c r="B105" s="1">
        <v>4296915</v>
      </c>
      <c r="C105" s="1" t="s">
        <v>165</v>
      </c>
      <c r="D105" s="1" t="s">
        <v>4421</v>
      </c>
      <c r="E105" s="1" t="s">
        <v>3428</v>
      </c>
      <c r="I105" s="2">
        <v>34659</v>
      </c>
      <c r="J105" s="1" t="s">
        <v>19</v>
      </c>
      <c r="K105" s="1" t="s">
        <v>20</v>
      </c>
      <c r="L105" s="1" t="s">
        <v>4422</v>
      </c>
      <c r="M105" s="1" t="s">
        <v>4423</v>
      </c>
      <c r="N105" s="1" t="s">
        <v>23</v>
      </c>
      <c r="O105" s="1" t="s">
        <v>4424</v>
      </c>
      <c r="P105" s="1">
        <f>31-654798117</f>
        <v>-654798086</v>
      </c>
      <c r="Q105" s="1">
        <v>2013</v>
      </c>
    </row>
    <row r="106" spans="1:17" s="1" customFormat="1" x14ac:dyDescent="0.25">
      <c r="A106" s="1" t="s">
        <v>15</v>
      </c>
      <c r="B106" s="1">
        <v>4298454</v>
      </c>
      <c r="C106" s="1" t="s">
        <v>165</v>
      </c>
      <c r="D106" s="1" t="s">
        <v>4421</v>
      </c>
      <c r="E106" s="1" t="s">
        <v>4425</v>
      </c>
      <c r="I106" s="2">
        <v>34554</v>
      </c>
      <c r="J106" s="1" t="s">
        <v>19</v>
      </c>
      <c r="K106" s="1" t="s">
        <v>20</v>
      </c>
      <c r="L106" s="1" t="s">
        <v>4426</v>
      </c>
      <c r="M106" s="1" t="s">
        <v>4427</v>
      </c>
      <c r="N106" s="1" t="s">
        <v>23</v>
      </c>
      <c r="O106" s="1" t="s">
        <v>4428</v>
      </c>
      <c r="P106" s="1">
        <f>31-681707091</f>
        <v>-681707060</v>
      </c>
      <c r="Q106" s="1">
        <v>2013</v>
      </c>
    </row>
    <row r="107" spans="1:17" s="1" customFormat="1" x14ac:dyDescent="0.25">
      <c r="A107" s="1" t="s">
        <v>15</v>
      </c>
      <c r="B107" s="1">
        <v>4304632</v>
      </c>
      <c r="C107" s="1" t="s">
        <v>4435</v>
      </c>
      <c r="D107" s="1" t="s">
        <v>4436</v>
      </c>
      <c r="E107" s="1" t="s">
        <v>4437</v>
      </c>
      <c r="I107" s="2">
        <v>34719</v>
      </c>
      <c r="J107" s="1" t="s">
        <v>19</v>
      </c>
      <c r="K107" s="1" t="s">
        <v>20</v>
      </c>
      <c r="L107" s="1" t="s">
        <v>4438</v>
      </c>
      <c r="M107" s="1" t="s">
        <v>4439</v>
      </c>
      <c r="N107" s="1" t="s">
        <v>23</v>
      </c>
      <c r="O107" s="1" t="s">
        <v>4440</v>
      </c>
      <c r="P107" s="1">
        <f>31-652025420</f>
        <v>-652025389</v>
      </c>
      <c r="Q107" s="1">
        <v>2013</v>
      </c>
    </row>
    <row r="108" spans="1:17" s="1" customFormat="1" x14ac:dyDescent="0.25">
      <c r="A108" s="1" t="s">
        <v>15</v>
      </c>
      <c r="B108" s="1">
        <v>4305531</v>
      </c>
      <c r="C108" s="1" t="s">
        <v>4441</v>
      </c>
      <c r="D108" s="1" t="s">
        <v>4442</v>
      </c>
      <c r="E108" s="1" t="s">
        <v>4443</v>
      </c>
      <c r="I108" s="2">
        <v>34875</v>
      </c>
      <c r="J108" s="1" t="s">
        <v>19</v>
      </c>
      <c r="K108" s="1" t="s">
        <v>20</v>
      </c>
      <c r="L108" s="1" t="s">
        <v>4444</v>
      </c>
      <c r="M108" s="1" t="s">
        <v>4445</v>
      </c>
      <c r="N108" s="1" t="s">
        <v>23</v>
      </c>
      <c r="O108" s="1" t="s">
        <v>4446</v>
      </c>
      <c r="P108" s="1">
        <f>31-643821138</f>
        <v>-643821107</v>
      </c>
      <c r="Q108" s="1">
        <v>2013</v>
      </c>
    </row>
    <row r="109" spans="1:17" s="1" customFormat="1" x14ac:dyDescent="0.25">
      <c r="A109" s="1" t="s">
        <v>15</v>
      </c>
      <c r="B109" s="1">
        <v>4163486</v>
      </c>
      <c r="C109" s="1" t="s">
        <v>4447</v>
      </c>
      <c r="D109" s="1" t="s">
        <v>4448</v>
      </c>
      <c r="E109" s="1" t="s">
        <v>4449</v>
      </c>
      <c r="I109" s="2">
        <v>33357</v>
      </c>
      <c r="J109" s="1" t="s">
        <v>19</v>
      </c>
      <c r="K109" s="1" t="s">
        <v>20</v>
      </c>
      <c r="L109" s="1" t="s">
        <v>4450</v>
      </c>
      <c r="M109" s="1" t="s">
        <v>4451</v>
      </c>
      <c r="N109" s="1" t="s">
        <v>23</v>
      </c>
      <c r="O109" s="1" t="s">
        <v>4452</v>
      </c>
      <c r="P109" s="1">
        <f>31-621657772</f>
        <v>-621657741</v>
      </c>
      <c r="Q109" s="1">
        <v>2013</v>
      </c>
    </row>
    <row r="110" spans="1:17" s="1" customFormat="1" x14ac:dyDescent="0.25">
      <c r="A110" s="1" t="s">
        <v>45</v>
      </c>
      <c r="B110" s="1">
        <v>4289781</v>
      </c>
      <c r="C110" s="29" t="s">
        <v>4459</v>
      </c>
      <c r="D110" s="1" t="s">
        <v>4460</v>
      </c>
      <c r="E110" s="1" t="s">
        <v>1753</v>
      </c>
      <c r="I110" s="2">
        <v>34728</v>
      </c>
      <c r="J110" s="1" t="s">
        <v>19</v>
      </c>
      <c r="K110" s="1" t="s">
        <v>20</v>
      </c>
      <c r="L110" s="1" t="s">
        <v>4461</v>
      </c>
      <c r="M110" s="1" t="s">
        <v>4462</v>
      </c>
      <c r="N110" s="1" t="s">
        <v>23</v>
      </c>
      <c r="O110" s="1" t="s">
        <v>4463</v>
      </c>
      <c r="P110" s="1">
        <f>31-620802430</f>
        <v>-620802399</v>
      </c>
      <c r="Q110" s="1">
        <v>2013</v>
      </c>
    </row>
    <row r="111" spans="1:17" s="1" customFormat="1" x14ac:dyDescent="0.25">
      <c r="A111" s="1" t="s">
        <v>15</v>
      </c>
      <c r="B111" s="1">
        <v>4308514</v>
      </c>
      <c r="C111" s="1" t="s">
        <v>4464</v>
      </c>
      <c r="D111" s="1" t="s">
        <v>4465</v>
      </c>
      <c r="E111" s="1" t="s">
        <v>1101</v>
      </c>
      <c r="I111" s="2">
        <v>34893</v>
      </c>
      <c r="J111" s="1" t="s">
        <v>19</v>
      </c>
      <c r="K111" s="1" t="s">
        <v>20</v>
      </c>
      <c r="L111" s="1" t="s">
        <v>4466</v>
      </c>
      <c r="M111" s="1" t="s">
        <v>4467</v>
      </c>
      <c r="N111" s="1" t="s">
        <v>23</v>
      </c>
      <c r="O111" s="1" t="s">
        <v>4468</v>
      </c>
      <c r="Q111" s="1">
        <v>2013</v>
      </c>
    </row>
    <row r="112" spans="1:17" s="1" customFormat="1" x14ac:dyDescent="0.25">
      <c r="A112" s="1" t="s">
        <v>15</v>
      </c>
      <c r="B112" s="1">
        <v>4282345</v>
      </c>
      <c r="C112" s="1" t="s">
        <v>4469</v>
      </c>
      <c r="D112" s="1" t="s">
        <v>4470</v>
      </c>
      <c r="E112" s="1" t="s">
        <v>1538</v>
      </c>
      <c r="I112" s="2">
        <v>34599</v>
      </c>
      <c r="J112" s="1" t="s">
        <v>19</v>
      </c>
      <c r="K112" s="1" t="s">
        <v>20</v>
      </c>
      <c r="L112" s="1" t="s">
        <v>4471</v>
      </c>
      <c r="M112" s="1" t="s">
        <v>4472</v>
      </c>
      <c r="N112" s="1" t="s">
        <v>23</v>
      </c>
      <c r="O112" s="1" t="s">
        <v>4473</v>
      </c>
      <c r="P112" s="1">
        <f>31-655880832</f>
        <v>-655880801</v>
      </c>
      <c r="Q112" s="1">
        <v>2013</v>
      </c>
    </row>
    <row r="113" spans="1:17" s="1" customFormat="1" x14ac:dyDescent="0.25">
      <c r="A113" s="1" t="s">
        <v>15</v>
      </c>
      <c r="B113" s="1">
        <v>4300548</v>
      </c>
      <c r="C113" s="1" t="s">
        <v>4474</v>
      </c>
      <c r="D113" s="1" t="s">
        <v>4475</v>
      </c>
      <c r="E113" s="1" t="s">
        <v>2540</v>
      </c>
      <c r="I113" s="2">
        <v>34551</v>
      </c>
      <c r="J113" s="1" t="s">
        <v>19</v>
      </c>
      <c r="K113" s="1" t="s">
        <v>20</v>
      </c>
      <c r="L113" s="1" t="s">
        <v>4476</v>
      </c>
      <c r="M113" s="1" t="s">
        <v>4477</v>
      </c>
      <c r="N113" s="1" t="s">
        <v>23</v>
      </c>
      <c r="O113" s="1" t="s">
        <v>4478</v>
      </c>
      <c r="P113" s="1">
        <f>31-681012797</f>
        <v>-681012766</v>
      </c>
      <c r="Q113" s="1">
        <v>2013</v>
      </c>
    </row>
    <row r="114" spans="1:17" s="1" customFormat="1" x14ac:dyDescent="0.25">
      <c r="A114" s="1" t="s">
        <v>15</v>
      </c>
      <c r="B114" s="1">
        <v>4308824</v>
      </c>
      <c r="C114" s="1" t="s">
        <v>4479</v>
      </c>
      <c r="D114" s="1" t="s">
        <v>4480</v>
      </c>
      <c r="E114" s="1" t="s">
        <v>1079</v>
      </c>
      <c r="I114" s="2">
        <v>34878</v>
      </c>
      <c r="J114" s="1" t="s">
        <v>19</v>
      </c>
      <c r="K114" s="1" t="s">
        <v>20</v>
      </c>
      <c r="L114" s="1" t="s">
        <v>4481</v>
      </c>
      <c r="M114" s="1" t="s">
        <v>4482</v>
      </c>
      <c r="N114" s="1" t="s">
        <v>23</v>
      </c>
      <c r="O114" s="1" t="s">
        <v>4483</v>
      </c>
      <c r="P114" s="1">
        <f>31-651752769</f>
        <v>-651752738</v>
      </c>
      <c r="Q114" s="1">
        <v>2013</v>
      </c>
    </row>
    <row r="115" spans="1:17" s="1" customFormat="1" x14ac:dyDescent="0.25">
      <c r="A115" s="1" t="s">
        <v>15</v>
      </c>
      <c r="B115" s="1">
        <v>4280849</v>
      </c>
      <c r="C115" s="1" t="s">
        <v>4484</v>
      </c>
      <c r="D115" s="1" t="s">
        <v>4485</v>
      </c>
      <c r="E115" s="1" t="s">
        <v>4486</v>
      </c>
      <c r="I115" s="2">
        <v>34859</v>
      </c>
      <c r="J115" s="1" t="s">
        <v>19</v>
      </c>
      <c r="K115" s="1" t="s">
        <v>20</v>
      </c>
      <c r="L115" s="1" t="s">
        <v>4487</v>
      </c>
      <c r="M115" s="1" t="s">
        <v>4488</v>
      </c>
      <c r="N115" s="1" t="s">
        <v>23</v>
      </c>
      <c r="O115" s="1" t="s">
        <v>4489</v>
      </c>
      <c r="P115" s="1">
        <f>31-610250833</f>
        <v>-610250802</v>
      </c>
      <c r="Q115" s="1">
        <v>2013</v>
      </c>
    </row>
    <row r="116" spans="1:17" s="1" customFormat="1" x14ac:dyDescent="0.25">
      <c r="A116" s="1" t="s">
        <v>15</v>
      </c>
      <c r="B116" s="1">
        <v>4280601</v>
      </c>
      <c r="C116" s="1" t="s">
        <v>4490</v>
      </c>
      <c r="D116" s="1" t="s">
        <v>4491</v>
      </c>
      <c r="E116" s="1" t="s">
        <v>4492</v>
      </c>
      <c r="I116" s="2">
        <v>34416</v>
      </c>
      <c r="J116" s="1" t="s">
        <v>19</v>
      </c>
      <c r="K116" s="1" t="s">
        <v>20</v>
      </c>
      <c r="L116" s="1" t="s">
        <v>4493</v>
      </c>
      <c r="M116" s="1" t="s">
        <v>4494</v>
      </c>
      <c r="N116" s="1" t="s">
        <v>23</v>
      </c>
      <c r="O116" s="1" t="s">
        <v>4495</v>
      </c>
      <c r="P116" s="1">
        <f>31-644037068</f>
        <v>-644037037</v>
      </c>
      <c r="Q116" s="1">
        <v>2013</v>
      </c>
    </row>
    <row r="117" spans="1:17" s="1" customFormat="1" x14ac:dyDescent="0.25">
      <c r="A117" s="1" t="s">
        <v>15</v>
      </c>
      <c r="B117" s="1">
        <v>4324196</v>
      </c>
      <c r="C117" s="1" t="s">
        <v>4496</v>
      </c>
      <c r="D117" s="1" t="s">
        <v>4497</v>
      </c>
      <c r="E117" s="1" t="s">
        <v>1417</v>
      </c>
      <c r="I117" s="2">
        <v>34956</v>
      </c>
      <c r="J117" s="1" t="s">
        <v>19</v>
      </c>
      <c r="K117" s="1" t="s">
        <v>20</v>
      </c>
      <c r="L117" s="1" t="s">
        <v>4498</v>
      </c>
      <c r="M117" s="1" t="s">
        <v>4499</v>
      </c>
      <c r="N117" s="1" t="s">
        <v>23</v>
      </c>
      <c r="O117" s="1" t="s">
        <v>4500</v>
      </c>
      <c r="P117" s="1">
        <f>31-649874929</f>
        <v>-649874898</v>
      </c>
      <c r="Q117" s="1">
        <v>2013</v>
      </c>
    </row>
    <row r="118" spans="1:17" s="1" customFormat="1" x14ac:dyDescent="0.25">
      <c r="A118" s="1" t="s">
        <v>15</v>
      </c>
      <c r="B118" s="1">
        <v>4279247</v>
      </c>
      <c r="C118" s="1" t="s">
        <v>4506</v>
      </c>
      <c r="D118" s="1" t="s">
        <v>4507</v>
      </c>
      <c r="E118" s="1" t="s">
        <v>98</v>
      </c>
      <c r="I118" s="2">
        <v>34956</v>
      </c>
      <c r="J118" s="1" t="s">
        <v>19</v>
      </c>
      <c r="K118" s="1" t="s">
        <v>20</v>
      </c>
      <c r="L118" s="1" t="s">
        <v>4508</v>
      </c>
      <c r="M118" s="1" t="s">
        <v>4509</v>
      </c>
      <c r="N118" s="1" t="s">
        <v>23</v>
      </c>
      <c r="O118" s="1" t="s">
        <v>4510</v>
      </c>
      <c r="P118" s="1">
        <f>31-611973741</f>
        <v>-611973710</v>
      </c>
      <c r="Q118" s="1">
        <v>2013</v>
      </c>
    </row>
    <row r="119" spans="1:17" s="1" customFormat="1" x14ac:dyDescent="0.25">
      <c r="A119" s="1" t="s">
        <v>45</v>
      </c>
      <c r="B119" s="1">
        <v>4333519</v>
      </c>
      <c r="C119" s="29" t="s">
        <v>4517</v>
      </c>
      <c r="D119" s="1" t="s">
        <v>4518</v>
      </c>
      <c r="E119" s="1" t="s">
        <v>1129</v>
      </c>
      <c r="I119" s="2">
        <v>34689</v>
      </c>
      <c r="J119" s="1" t="s">
        <v>137</v>
      </c>
      <c r="K119" s="1" t="s">
        <v>20</v>
      </c>
      <c r="L119" s="1" t="s">
        <v>4519</v>
      </c>
      <c r="M119" s="1" t="s">
        <v>4520</v>
      </c>
      <c r="N119" s="1" t="s">
        <v>140</v>
      </c>
      <c r="O119" s="1" t="s">
        <v>4521</v>
      </c>
      <c r="P119" s="1">
        <f>32-478252414</f>
        <v>-478252382</v>
      </c>
      <c r="Q119" s="1">
        <v>2013</v>
      </c>
    </row>
    <row r="120" spans="1:17" s="1" customFormat="1" x14ac:dyDescent="0.25">
      <c r="A120" s="1" t="s">
        <v>15</v>
      </c>
      <c r="B120" s="1">
        <v>4308603</v>
      </c>
      <c r="C120" s="1" t="s">
        <v>4522</v>
      </c>
      <c r="D120" s="1" t="s">
        <v>4523</v>
      </c>
      <c r="E120" s="1" t="s">
        <v>696</v>
      </c>
      <c r="I120" s="2">
        <v>33933</v>
      </c>
      <c r="J120" s="1" t="s">
        <v>19</v>
      </c>
      <c r="K120" s="1" t="s">
        <v>20</v>
      </c>
      <c r="L120" s="1" t="s">
        <v>4524</v>
      </c>
      <c r="M120" s="1" t="s">
        <v>4525</v>
      </c>
      <c r="N120" s="1" t="s">
        <v>23</v>
      </c>
      <c r="O120" s="1" t="s">
        <v>4526</v>
      </c>
      <c r="P120" s="1">
        <f>31-613401992</f>
        <v>-613401961</v>
      </c>
      <c r="Q120" s="1">
        <v>2013</v>
      </c>
    </row>
    <row r="121" spans="1:17" s="1" customFormat="1" x14ac:dyDescent="0.25">
      <c r="A121" s="1" t="s">
        <v>15</v>
      </c>
      <c r="B121" s="1">
        <v>4201175</v>
      </c>
      <c r="C121" s="1" t="s">
        <v>4527</v>
      </c>
      <c r="D121" s="1" t="s">
        <v>4528</v>
      </c>
      <c r="E121" s="1" t="s">
        <v>3773</v>
      </c>
      <c r="I121" s="2">
        <v>33197</v>
      </c>
      <c r="J121" s="1" t="s">
        <v>4529</v>
      </c>
      <c r="K121" s="1" t="s">
        <v>20</v>
      </c>
      <c r="L121" s="1" t="s">
        <v>4530</v>
      </c>
      <c r="M121" s="1" t="s">
        <v>4531</v>
      </c>
      <c r="N121" s="1" t="s">
        <v>23</v>
      </c>
      <c r="O121" s="1" t="s">
        <v>4532</v>
      </c>
      <c r="P121" s="1">
        <f>31-684794309</f>
        <v>-684794278</v>
      </c>
      <c r="Q121" s="1">
        <v>2013</v>
      </c>
    </row>
    <row r="122" spans="1:17" s="1" customFormat="1" x14ac:dyDescent="0.25">
      <c r="A122" s="1" t="s">
        <v>15</v>
      </c>
      <c r="B122" s="1">
        <v>4274261</v>
      </c>
      <c r="C122" s="1" t="s">
        <v>4533</v>
      </c>
      <c r="D122" s="1" t="s">
        <v>4534</v>
      </c>
      <c r="E122" s="1" t="s">
        <v>3640</v>
      </c>
      <c r="I122" s="2">
        <v>35216</v>
      </c>
      <c r="J122" s="1" t="s">
        <v>19</v>
      </c>
      <c r="K122" s="1" t="s">
        <v>20</v>
      </c>
      <c r="L122" s="1" t="s">
        <v>4535</v>
      </c>
      <c r="M122" s="1" t="s">
        <v>4536</v>
      </c>
      <c r="N122" s="1" t="s">
        <v>23</v>
      </c>
      <c r="O122" s="1" t="s">
        <v>4537</v>
      </c>
      <c r="P122" s="1">
        <f>31-634032032</f>
        <v>-634032001</v>
      </c>
      <c r="Q122" s="1">
        <v>2013</v>
      </c>
    </row>
    <row r="123" spans="1:17" s="1" customFormat="1" x14ac:dyDescent="0.25">
      <c r="A123" s="1" t="s">
        <v>45</v>
      </c>
      <c r="B123" s="1">
        <v>4242769</v>
      </c>
      <c r="C123" s="29" t="s">
        <v>3243</v>
      </c>
      <c r="D123" s="1" t="s">
        <v>5099</v>
      </c>
      <c r="E123" s="1" t="s">
        <v>3411</v>
      </c>
      <c r="I123" s="2">
        <v>33960</v>
      </c>
      <c r="J123" s="1" t="s">
        <v>19</v>
      </c>
      <c r="K123" s="1" t="s">
        <v>111</v>
      </c>
      <c r="L123" s="1" t="s">
        <v>5100</v>
      </c>
      <c r="M123" s="1" t="s">
        <v>5101</v>
      </c>
      <c r="N123" s="1" t="s">
        <v>23</v>
      </c>
      <c r="O123" s="1" t="s">
        <v>5102</v>
      </c>
      <c r="P123" s="1">
        <f>31-616326616</f>
        <v>-616326585</v>
      </c>
      <c r="Q123" s="1">
        <v>2012</v>
      </c>
    </row>
    <row r="124" spans="1:17" s="1" customFormat="1" x14ac:dyDescent="0.25">
      <c r="A124" s="1" t="s">
        <v>15</v>
      </c>
      <c r="B124" s="1">
        <v>4285638</v>
      </c>
      <c r="C124" s="1" t="s">
        <v>3243</v>
      </c>
      <c r="D124" s="1" t="s">
        <v>4538</v>
      </c>
      <c r="E124" s="1" t="s">
        <v>765</v>
      </c>
      <c r="I124" s="2">
        <v>34760</v>
      </c>
      <c r="J124" s="1" t="s">
        <v>19</v>
      </c>
      <c r="K124" s="1" t="s">
        <v>20</v>
      </c>
      <c r="L124" s="1" t="s">
        <v>4539</v>
      </c>
      <c r="M124" s="1" t="s">
        <v>4540</v>
      </c>
      <c r="N124" s="1" t="s">
        <v>23</v>
      </c>
      <c r="O124" s="1" t="s">
        <v>4541</v>
      </c>
      <c r="P124" s="1">
        <f>31-631351186</f>
        <v>-631351155</v>
      </c>
      <c r="Q124" s="1">
        <v>2013</v>
      </c>
    </row>
    <row r="125" spans="1:17" s="1" customFormat="1" x14ac:dyDescent="0.25">
      <c r="A125" s="1" t="s">
        <v>15</v>
      </c>
      <c r="B125" s="1">
        <v>4333101</v>
      </c>
      <c r="C125" s="1" t="s">
        <v>4542</v>
      </c>
      <c r="D125" s="1" t="s">
        <v>4543</v>
      </c>
      <c r="E125" s="1" t="s">
        <v>156</v>
      </c>
      <c r="I125" s="2">
        <v>34529</v>
      </c>
      <c r="J125" s="1" t="s">
        <v>19</v>
      </c>
      <c r="K125" s="1" t="s">
        <v>20</v>
      </c>
      <c r="L125" s="1" t="s">
        <v>4544</v>
      </c>
      <c r="M125" s="1" t="s">
        <v>4545</v>
      </c>
      <c r="N125" s="1" t="s">
        <v>23</v>
      </c>
      <c r="O125" s="1" t="s">
        <v>4546</v>
      </c>
      <c r="P125" s="1">
        <f>31-622349835</f>
        <v>-622349804</v>
      </c>
      <c r="Q125" s="1">
        <v>2013</v>
      </c>
    </row>
    <row r="126" spans="1:17" s="1" customFormat="1" x14ac:dyDescent="0.25">
      <c r="A126" s="1" t="s">
        <v>15</v>
      </c>
      <c r="B126" s="1">
        <v>4333101</v>
      </c>
      <c r="C126" s="1" t="s">
        <v>4542</v>
      </c>
      <c r="D126" s="1" t="s">
        <v>4543</v>
      </c>
      <c r="E126" s="1" t="s">
        <v>156</v>
      </c>
      <c r="I126" s="2">
        <v>34529</v>
      </c>
      <c r="J126" s="1" t="s">
        <v>19</v>
      </c>
      <c r="K126" s="1" t="s">
        <v>20</v>
      </c>
      <c r="L126" s="1" t="s">
        <v>4544</v>
      </c>
      <c r="M126" s="1" t="s">
        <v>4545</v>
      </c>
      <c r="N126" s="1" t="s">
        <v>23</v>
      </c>
      <c r="O126" s="1" t="s">
        <v>4546</v>
      </c>
      <c r="P126" s="1">
        <f>31-622349835</f>
        <v>-622349804</v>
      </c>
      <c r="Q126" s="1">
        <v>2013</v>
      </c>
    </row>
    <row r="127" spans="1:17" s="1" customFormat="1" x14ac:dyDescent="0.25">
      <c r="A127" s="1" t="s">
        <v>15</v>
      </c>
      <c r="B127" s="1">
        <v>4300920</v>
      </c>
      <c r="C127" s="1" t="s">
        <v>340</v>
      </c>
      <c r="D127" s="1" t="s">
        <v>4547</v>
      </c>
      <c r="E127" s="1" t="s">
        <v>1582</v>
      </c>
      <c r="I127" s="2">
        <v>34606</v>
      </c>
      <c r="J127" s="1" t="s">
        <v>19</v>
      </c>
      <c r="K127" s="1" t="s">
        <v>20</v>
      </c>
      <c r="L127" s="1" t="s">
        <v>4548</v>
      </c>
      <c r="M127" s="1" t="s">
        <v>4549</v>
      </c>
      <c r="N127" s="1" t="s">
        <v>23</v>
      </c>
      <c r="O127" s="1" t="s">
        <v>4550</v>
      </c>
      <c r="P127" s="1">
        <f>31-620059766</f>
        <v>-620059735</v>
      </c>
      <c r="Q127" s="1">
        <v>2013</v>
      </c>
    </row>
    <row r="128" spans="1:17" s="1" customFormat="1" x14ac:dyDescent="0.25">
      <c r="A128" s="1" t="s">
        <v>15</v>
      </c>
      <c r="B128" s="1">
        <v>4331044</v>
      </c>
      <c r="C128" s="1" t="s">
        <v>4551</v>
      </c>
      <c r="D128" s="1" t="s">
        <v>4552</v>
      </c>
      <c r="E128" s="1" t="s">
        <v>443</v>
      </c>
      <c r="I128" s="2">
        <v>34849</v>
      </c>
      <c r="J128" s="1" t="s">
        <v>19</v>
      </c>
      <c r="K128" s="1" t="s">
        <v>20</v>
      </c>
      <c r="L128" s="1" t="s">
        <v>4553</v>
      </c>
      <c r="M128" s="1" t="s">
        <v>4554</v>
      </c>
      <c r="N128" s="1" t="s">
        <v>23</v>
      </c>
      <c r="O128" s="1" t="s">
        <v>4555</v>
      </c>
      <c r="P128" s="1">
        <f>31-646001220</f>
        <v>-646001189</v>
      </c>
      <c r="Q128" s="1">
        <v>2013</v>
      </c>
    </row>
    <row r="129" spans="1:17" s="1" customFormat="1" x14ac:dyDescent="0.25">
      <c r="A129" s="1" t="s">
        <v>15</v>
      </c>
      <c r="B129" s="1">
        <v>4313372</v>
      </c>
      <c r="C129" s="1" t="s">
        <v>1336</v>
      </c>
      <c r="D129" s="1" t="s">
        <v>4556</v>
      </c>
      <c r="E129" s="1" t="s">
        <v>18</v>
      </c>
      <c r="I129" s="2">
        <v>34671</v>
      </c>
      <c r="J129" s="1" t="s">
        <v>19</v>
      </c>
      <c r="K129" s="1" t="s">
        <v>20</v>
      </c>
      <c r="L129" s="1" t="s">
        <v>4557</v>
      </c>
      <c r="M129" s="1" t="s">
        <v>4558</v>
      </c>
      <c r="N129" s="1" t="s">
        <v>23</v>
      </c>
      <c r="O129" s="1" t="s">
        <v>4559</v>
      </c>
      <c r="P129" s="1">
        <f>31-648604597</f>
        <v>-648604566</v>
      </c>
      <c r="Q129" s="1">
        <v>2013</v>
      </c>
    </row>
    <row r="130" spans="1:17" s="1" customFormat="1" x14ac:dyDescent="0.25">
      <c r="A130" s="1" t="s">
        <v>15</v>
      </c>
      <c r="B130" s="1">
        <v>4143000</v>
      </c>
      <c r="C130" s="1" t="s">
        <v>5103</v>
      </c>
      <c r="D130" s="1" t="s">
        <v>5104</v>
      </c>
      <c r="E130" s="1" t="s">
        <v>5105</v>
      </c>
      <c r="I130" s="2">
        <v>33972</v>
      </c>
      <c r="J130" s="1" t="s">
        <v>19</v>
      </c>
      <c r="K130" s="1" t="s">
        <v>111</v>
      </c>
      <c r="L130" s="1" t="s">
        <v>5106</v>
      </c>
      <c r="M130" s="1" t="s">
        <v>5107</v>
      </c>
      <c r="N130" s="1" t="s">
        <v>23</v>
      </c>
      <c r="O130" s="1" t="s">
        <v>5108</v>
      </c>
      <c r="P130" s="1">
        <f>31-630406055</f>
        <v>-630406024</v>
      </c>
      <c r="Q130" s="1">
        <v>2013</v>
      </c>
    </row>
    <row r="131" spans="1:17" s="1" customFormat="1" x14ac:dyDescent="0.25">
      <c r="A131" s="1" t="s">
        <v>15</v>
      </c>
      <c r="B131" s="1">
        <v>4276663</v>
      </c>
      <c r="C131" s="1" t="s">
        <v>4560</v>
      </c>
      <c r="D131" s="1" t="s">
        <v>4561</v>
      </c>
      <c r="E131" s="1" t="s">
        <v>443</v>
      </c>
      <c r="I131" s="2">
        <v>34797</v>
      </c>
      <c r="J131" s="1" t="s">
        <v>19</v>
      </c>
      <c r="K131" s="1" t="s">
        <v>20</v>
      </c>
      <c r="L131" s="1" t="s">
        <v>4562</v>
      </c>
      <c r="M131" s="1" t="s">
        <v>4563</v>
      </c>
      <c r="N131" s="1" t="s">
        <v>23</v>
      </c>
      <c r="O131" s="1" t="s">
        <v>4564</v>
      </c>
      <c r="P131" s="1">
        <f>31-683124226</f>
        <v>-683124195</v>
      </c>
      <c r="Q131" s="1">
        <v>2013</v>
      </c>
    </row>
    <row r="132" spans="1:17" s="1" customFormat="1" x14ac:dyDescent="0.25">
      <c r="A132" s="1" t="s">
        <v>15</v>
      </c>
      <c r="B132" s="1">
        <v>4323149</v>
      </c>
      <c r="C132" s="1" t="s">
        <v>5109</v>
      </c>
      <c r="D132" s="1" t="s">
        <v>5110</v>
      </c>
      <c r="E132" s="1" t="s">
        <v>5111</v>
      </c>
      <c r="I132" s="2">
        <v>34941</v>
      </c>
      <c r="J132" s="1" t="s">
        <v>19</v>
      </c>
      <c r="K132" s="1" t="s">
        <v>111</v>
      </c>
      <c r="L132" s="1" t="s">
        <v>5112</v>
      </c>
      <c r="M132" s="1" t="s">
        <v>5113</v>
      </c>
      <c r="N132" s="1" t="s">
        <v>23</v>
      </c>
      <c r="O132" s="1" t="s">
        <v>5114</v>
      </c>
      <c r="P132" s="1">
        <f>31-634812328</f>
        <v>-634812297</v>
      </c>
      <c r="Q132" s="1">
        <v>2013</v>
      </c>
    </row>
    <row r="133" spans="1:17" s="1" customFormat="1" x14ac:dyDescent="0.25">
      <c r="A133" s="1" t="s">
        <v>15</v>
      </c>
      <c r="B133" s="1">
        <v>4301358</v>
      </c>
      <c r="C133" s="1" t="s">
        <v>4571</v>
      </c>
      <c r="D133" s="1" t="s">
        <v>4572</v>
      </c>
      <c r="E133" s="1" t="s">
        <v>68</v>
      </c>
      <c r="I133" s="2">
        <v>34742</v>
      </c>
      <c r="J133" s="1" t="s">
        <v>19</v>
      </c>
      <c r="K133" s="1" t="s">
        <v>20</v>
      </c>
      <c r="L133" s="1" t="s">
        <v>4573</v>
      </c>
      <c r="M133" s="1" t="s">
        <v>4574</v>
      </c>
      <c r="N133" s="1" t="s">
        <v>23</v>
      </c>
      <c r="O133" s="1" t="s">
        <v>4575</v>
      </c>
      <c r="P133" s="1">
        <f>31-623281903</f>
        <v>-623281872</v>
      </c>
      <c r="Q133" s="1">
        <v>2013</v>
      </c>
    </row>
    <row r="134" spans="1:17" s="1" customFormat="1" x14ac:dyDescent="0.25">
      <c r="A134" s="1" t="s">
        <v>15</v>
      </c>
      <c r="B134" s="1">
        <v>4308107</v>
      </c>
      <c r="C134" s="1" t="s">
        <v>1111</v>
      </c>
      <c r="D134" s="1" t="s">
        <v>4576</v>
      </c>
      <c r="E134" s="1" t="s">
        <v>4577</v>
      </c>
      <c r="I134" s="2">
        <v>34071</v>
      </c>
      <c r="J134" s="1" t="s">
        <v>19</v>
      </c>
      <c r="K134" s="1" t="s">
        <v>20</v>
      </c>
      <c r="L134" s="1" t="s">
        <v>4578</v>
      </c>
      <c r="M134" s="1" t="s">
        <v>4579</v>
      </c>
      <c r="N134" s="1" t="s">
        <v>23</v>
      </c>
      <c r="O134" s="1" t="s">
        <v>4580</v>
      </c>
      <c r="P134" s="1">
        <f>31-615107331</f>
        <v>-615107300</v>
      </c>
      <c r="Q134" s="1">
        <v>2013</v>
      </c>
    </row>
    <row r="135" spans="1:17" s="1" customFormat="1" x14ac:dyDescent="0.25">
      <c r="A135" s="1" t="s">
        <v>15</v>
      </c>
      <c r="B135" s="1">
        <v>4280210</v>
      </c>
      <c r="C135" s="1" t="s">
        <v>4581</v>
      </c>
      <c r="D135" s="1" t="s">
        <v>4582</v>
      </c>
      <c r="E135" s="1" t="s">
        <v>1079</v>
      </c>
      <c r="I135" s="2">
        <v>34309</v>
      </c>
      <c r="J135" s="1" t="s">
        <v>19</v>
      </c>
      <c r="K135" s="1" t="s">
        <v>20</v>
      </c>
      <c r="L135" s="1" t="s">
        <v>4583</v>
      </c>
      <c r="M135" s="1" t="s">
        <v>4584</v>
      </c>
      <c r="N135" s="1" t="s">
        <v>23</v>
      </c>
      <c r="O135" s="1" t="s">
        <v>4585</v>
      </c>
      <c r="P135" s="1">
        <f>31-634458753</f>
        <v>-634458722</v>
      </c>
      <c r="Q135" s="1">
        <v>2013</v>
      </c>
    </row>
    <row r="136" spans="1:17" s="1" customFormat="1" x14ac:dyDescent="0.25">
      <c r="A136" s="1" t="s">
        <v>15</v>
      </c>
      <c r="B136" s="1">
        <v>4286138</v>
      </c>
      <c r="C136" s="1" t="s">
        <v>4586</v>
      </c>
      <c r="D136" s="1" t="s">
        <v>4587</v>
      </c>
      <c r="E136" s="1" t="s">
        <v>1643</v>
      </c>
      <c r="I136" s="2">
        <v>34801</v>
      </c>
      <c r="J136" s="1" t="s">
        <v>137</v>
      </c>
      <c r="K136" s="1" t="s">
        <v>20</v>
      </c>
      <c r="L136" s="1" t="s">
        <v>4588</v>
      </c>
      <c r="M136" s="1" t="s">
        <v>4589</v>
      </c>
      <c r="N136" s="1" t="s">
        <v>23</v>
      </c>
      <c r="O136" s="1" t="s">
        <v>4590</v>
      </c>
      <c r="Q136" s="1">
        <v>2013</v>
      </c>
    </row>
    <row r="137" spans="1:17" s="1" customFormat="1" x14ac:dyDescent="0.25">
      <c r="A137" s="1" t="s">
        <v>15</v>
      </c>
      <c r="B137" s="1">
        <v>4278712</v>
      </c>
      <c r="C137" s="1" t="s">
        <v>4596</v>
      </c>
      <c r="D137" s="1" t="s">
        <v>4597</v>
      </c>
      <c r="E137" s="1" t="s">
        <v>4598</v>
      </c>
      <c r="I137" s="2">
        <v>34267</v>
      </c>
      <c r="J137" s="1" t="s">
        <v>19</v>
      </c>
      <c r="K137" s="1" t="s">
        <v>20</v>
      </c>
      <c r="L137" s="1" t="s">
        <v>4599</v>
      </c>
      <c r="M137" s="1" t="s">
        <v>4600</v>
      </c>
      <c r="N137" s="1" t="s">
        <v>23</v>
      </c>
      <c r="O137" s="1" t="s">
        <v>4601</v>
      </c>
      <c r="Q137" s="1">
        <v>2013</v>
      </c>
    </row>
    <row r="138" spans="1:17" s="1" customFormat="1" x14ac:dyDescent="0.25">
      <c r="A138" s="1" t="s">
        <v>15</v>
      </c>
      <c r="B138" s="1">
        <v>4295846</v>
      </c>
      <c r="C138" s="1" t="s">
        <v>4602</v>
      </c>
      <c r="D138" s="1" t="s">
        <v>4603</v>
      </c>
      <c r="E138" s="1" t="s">
        <v>173</v>
      </c>
      <c r="I138" s="2">
        <v>34903</v>
      </c>
      <c r="J138" s="1" t="s">
        <v>19</v>
      </c>
      <c r="K138" s="1" t="s">
        <v>20</v>
      </c>
      <c r="L138" s="1" t="s">
        <v>4604</v>
      </c>
      <c r="M138" s="1" t="s">
        <v>4605</v>
      </c>
      <c r="N138" s="1" t="s">
        <v>23</v>
      </c>
      <c r="O138" s="1" t="s">
        <v>4606</v>
      </c>
      <c r="Q138" s="1">
        <v>2013</v>
      </c>
    </row>
    <row r="139" spans="1:17" s="1" customFormat="1" x14ac:dyDescent="0.25">
      <c r="A139" s="1" t="s">
        <v>15</v>
      </c>
      <c r="B139" s="1">
        <v>4295455</v>
      </c>
      <c r="C139" s="1" t="s">
        <v>521</v>
      </c>
      <c r="D139" s="1" t="s">
        <v>4607</v>
      </c>
      <c r="E139" s="1" t="s">
        <v>788</v>
      </c>
      <c r="I139" s="2">
        <v>34661</v>
      </c>
      <c r="J139" s="1" t="s">
        <v>19</v>
      </c>
      <c r="K139" s="1" t="s">
        <v>20</v>
      </c>
      <c r="L139" s="1" t="s">
        <v>4608</v>
      </c>
      <c r="M139" s="1" t="s">
        <v>4609</v>
      </c>
      <c r="N139" s="1" t="s">
        <v>23</v>
      </c>
      <c r="O139" s="1" t="s">
        <v>4610</v>
      </c>
      <c r="P139" s="1">
        <f>31-627518851</f>
        <v>-627518820</v>
      </c>
      <c r="Q139" s="1">
        <v>2013</v>
      </c>
    </row>
    <row r="140" spans="1:17" s="1" customFormat="1" x14ac:dyDescent="0.25">
      <c r="A140" s="1" t="s">
        <v>15</v>
      </c>
      <c r="B140" s="1">
        <v>4294319</v>
      </c>
      <c r="C140" s="1" t="s">
        <v>5115</v>
      </c>
      <c r="D140" s="1" t="s">
        <v>5116</v>
      </c>
      <c r="E140" s="1" t="s">
        <v>5117</v>
      </c>
      <c r="I140" s="2">
        <v>34767</v>
      </c>
      <c r="J140" s="1" t="s">
        <v>19</v>
      </c>
      <c r="K140" s="1" t="s">
        <v>111</v>
      </c>
      <c r="L140" s="1" t="s">
        <v>5118</v>
      </c>
      <c r="M140" s="1" t="s">
        <v>5119</v>
      </c>
      <c r="N140" s="1" t="s">
        <v>23</v>
      </c>
      <c r="O140" s="1" t="s">
        <v>5120</v>
      </c>
      <c r="Q140" s="1">
        <v>2013</v>
      </c>
    </row>
    <row r="141" spans="1:17" s="1" customFormat="1" x14ac:dyDescent="0.25">
      <c r="A141" s="1" t="s">
        <v>45</v>
      </c>
      <c r="B141" s="1">
        <v>4222040</v>
      </c>
      <c r="C141" s="29" t="s">
        <v>4611</v>
      </c>
      <c r="D141" s="1" t="s">
        <v>4612</v>
      </c>
      <c r="E141" s="1" t="s">
        <v>2518</v>
      </c>
      <c r="I141" s="2">
        <v>33567</v>
      </c>
      <c r="J141" s="1" t="s">
        <v>19</v>
      </c>
      <c r="K141" s="1" t="s">
        <v>20</v>
      </c>
      <c r="L141" s="1" t="s">
        <v>4613</v>
      </c>
      <c r="M141" s="1" t="s">
        <v>4614</v>
      </c>
      <c r="N141" s="1" t="s">
        <v>23</v>
      </c>
      <c r="O141" s="1" t="s">
        <v>4615</v>
      </c>
      <c r="P141" s="1">
        <f>31-637307960</f>
        <v>-637307929</v>
      </c>
      <c r="Q141" s="1">
        <v>2012</v>
      </c>
    </row>
    <row r="142" spans="1:17" s="1" customFormat="1" x14ac:dyDescent="0.25">
      <c r="A142" s="1" t="s">
        <v>15</v>
      </c>
      <c r="B142" s="1">
        <v>4270746</v>
      </c>
      <c r="C142" s="1" t="s">
        <v>5121</v>
      </c>
      <c r="D142" s="1" t="s">
        <v>5122</v>
      </c>
      <c r="E142" s="1" t="s">
        <v>5123</v>
      </c>
      <c r="I142" s="2">
        <v>34572</v>
      </c>
      <c r="J142" s="1" t="s">
        <v>19</v>
      </c>
      <c r="K142" s="1" t="s">
        <v>111</v>
      </c>
      <c r="L142" s="1" t="s">
        <v>5124</v>
      </c>
      <c r="M142" s="1" t="s">
        <v>3352</v>
      </c>
      <c r="N142" s="1" t="s">
        <v>669</v>
      </c>
      <c r="O142" s="1" t="s">
        <v>5125</v>
      </c>
      <c r="P142" s="1">
        <f>599-95147051</f>
        <v>-95146452</v>
      </c>
      <c r="Q142" s="1">
        <v>2013</v>
      </c>
    </row>
    <row r="143" spans="1:17" s="1" customFormat="1" x14ac:dyDescent="0.25">
      <c r="A143" s="1" t="s">
        <v>15</v>
      </c>
      <c r="B143" s="1">
        <v>4277317</v>
      </c>
      <c r="C143" s="1" t="s">
        <v>3750</v>
      </c>
      <c r="D143" s="1" t="s">
        <v>4616</v>
      </c>
      <c r="E143" s="1" t="s">
        <v>2340</v>
      </c>
      <c r="I143" s="2">
        <v>34725</v>
      </c>
      <c r="J143" s="1" t="s">
        <v>19</v>
      </c>
      <c r="K143" s="1" t="s">
        <v>20</v>
      </c>
      <c r="L143" s="1" t="s">
        <v>4617</v>
      </c>
      <c r="N143" s="1" t="s">
        <v>669</v>
      </c>
      <c r="O143" s="1" t="s">
        <v>4618</v>
      </c>
      <c r="P143" s="1">
        <f>599-5122174</f>
        <v>-5121575</v>
      </c>
      <c r="Q143" s="1">
        <v>2013</v>
      </c>
    </row>
    <row r="144" spans="1:17" s="1" customFormat="1" x14ac:dyDescent="0.25">
      <c r="A144" s="1" t="s">
        <v>15</v>
      </c>
      <c r="B144" s="1">
        <v>4282248</v>
      </c>
      <c r="C144" s="1" t="s">
        <v>4619</v>
      </c>
      <c r="D144" s="1" t="s">
        <v>4620</v>
      </c>
      <c r="E144" s="1" t="s">
        <v>1942</v>
      </c>
      <c r="I144" s="2">
        <v>34678</v>
      </c>
      <c r="J144" s="1" t="s">
        <v>19</v>
      </c>
      <c r="K144" s="1" t="s">
        <v>20</v>
      </c>
      <c r="L144" s="1" t="s">
        <v>4621</v>
      </c>
      <c r="M144" s="1" t="s">
        <v>4622</v>
      </c>
      <c r="N144" s="1" t="s">
        <v>23</v>
      </c>
      <c r="O144" s="1" t="s">
        <v>4623</v>
      </c>
      <c r="P144" s="1">
        <f>31-618491779</f>
        <v>-618491748</v>
      </c>
      <c r="Q144" s="1">
        <v>2013</v>
      </c>
    </row>
    <row r="145" spans="1:17" s="1" customFormat="1" x14ac:dyDescent="0.25">
      <c r="A145" s="1" t="s">
        <v>15</v>
      </c>
      <c r="B145" s="1">
        <v>4288793</v>
      </c>
      <c r="C145" s="1" t="s">
        <v>2606</v>
      </c>
      <c r="D145" s="1" t="s">
        <v>4635</v>
      </c>
      <c r="E145" s="1" t="s">
        <v>2792</v>
      </c>
      <c r="I145" s="2">
        <v>34884</v>
      </c>
      <c r="J145" s="1" t="s">
        <v>19</v>
      </c>
      <c r="K145" s="1" t="s">
        <v>20</v>
      </c>
      <c r="L145" s="1" t="s">
        <v>4636</v>
      </c>
      <c r="M145" s="1" t="s">
        <v>4637</v>
      </c>
      <c r="N145" s="1" t="s">
        <v>23</v>
      </c>
      <c r="O145" s="1" t="s">
        <v>4638</v>
      </c>
      <c r="P145" s="1">
        <f>31-612365941</f>
        <v>-612365910</v>
      </c>
      <c r="Q145" s="1">
        <v>2013</v>
      </c>
    </row>
    <row r="146" spans="1:17" s="1" customFormat="1" x14ac:dyDescent="0.25">
      <c r="A146" s="1" t="s">
        <v>15</v>
      </c>
      <c r="B146" s="1">
        <v>4327209</v>
      </c>
      <c r="C146" s="1" t="s">
        <v>4639</v>
      </c>
      <c r="D146" s="1" t="s">
        <v>4640</v>
      </c>
      <c r="E146" s="1" t="s">
        <v>4641</v>
      </c>
      <c r="I146" s="2">
        <v>34351</v>
      </c>
      <c r="J146" s="1" t="s">
        <v>19</v>
      </c>
      <c r="K146" s="1" t="s">
        <v>20</v>
      </c>
      <c r="L146" s="1" t="s">
        <v>4642</v>
      </c>
      <c r="M146" s="1" t="s">
        <v>4643</v>
      </c>
      <c r="N146" s="1" t="s">
        <v>23</v>
      </c>
      <c r="O146" s="1" t="s">
        <v>4644</v>
      </c>
      <c r="P146" s="1">
        <f>31-630632921</f>
        <v>-630632890</v>
      </c>
      <c r="Q146" s="1">
        <v>2013</v>
      </c>
    </row>
    <row r="147" spans="1:17" s="1" customFormat="1" x14ac:dyDescent="0.25">
      <c r="A147" s="1" t="s">
        <v>15</v>
      </c>
      <c r="B147" s="1">
        <v>4249119</v>
      </c>
      <c r="C147" s="1" t="s">
        <v>4645</v>
      </c>
      <c r="D147" s="1" t="s">
        <v>4646</v>
      </c>
      <c r="E147" s="1" t="s">
        <v>4647</v>
      </c>
      <c r="I147" s="2">
        <v>34537</v>
      </c>
      <c r="J147" s="1" t="s">
        <v>19</v>
      </c>
      <c r="K147" s="1" t="s">
        <v>20</v>
      </c>
      <c r="L147" s="1" t="s">
        <v>4648</v>
      </c>
      <c r="M147" s="1" t="s">
        <v>4649</v>
      </c>
      <c r="N147" s="1" t="s">
        <v>23</v>
      </c>
      <c r="O147" s="1" t="s">
        <v>4650</v>
      </c>
      <c r="P147" s="1">
        <f>31-636394539</f>
        <v>-636394508</v>
      </c>
      <c r="Q147" s="1">
        <v>2012</v>
      </c>
    </row>
    <row r="148" spans="1:17" s="1" customFormat="1" x14ac:dyDescent="0.25">
      <c r="A148" s="1" t="s">
        <v>15</v>
      </c>
      <c r="B148" s="1">
        <v>4304675</v>
      </c>
      <c r="C148" s="1" t="s">
        <v>4651</v>
      </c>
      <c r="D148" s="1" t="s">
        <v>4652</v>
      </c>
      <c r="E148" s="1" t="s">
        <v>265</v>
      </c>
      <c r="I148" s="2">
        <v>34521</v>
      </c>
      <c r="J148" s="1" t="s">
        <v>19</v>
      </c>
      <c r="K148" s="1" t="s">
        <v>20</v>
      </c>
      <c r="L148" s="1" t="s">
        <v>4653</v>
      </c>
      <c r="M148" s="1" t="s">
        <v>4654</v>
      </c>
      <c r="N148" s="1" t="s">
        <v>23</v>
      </c>
      <c r="O148" s="1" t="s">
        <v>4655</v>
      </c>
      <c r="P148" s="1">
        <f>31-619753609</f>
        <v>-619753578</v>
      </c>
      <c r="Q148" s="1">
        <v>2013</v>
      </c>
    </row>
    <row r="149" spans="1:17" s="1" customFormat="1" x14ac:dyDescent="0.25">
      <c r="A149" s="1" t="s">
        <v>15</v>
      </c>
      <c r="B149" s="1">
        <v>4281632</v>
      </c>
      <c r="C149" s="1" t="s">
        <v>5126</v>
      </c>
      <c r="D149" s="1" t="s">
        <v>5127</v>
      </c>
      <c r="E149" s="1" t="s">
        <v>5128</v>
      </c>
      <c r="I149" s="2">
        <v>28846</v>
      </c>
      <c r="J149" s="1" t="s">
        <v>19</v>
      </c>
      <c r="K149" s="1" t="s">
        <v>111</v>
      </c>
      <c r="L149" s="1" t="s">
        <v>5129</v>
      </c>
      <c r="M149" s="1" t="s">
        <v>5130</v>
      </c>
      <c r="N149" s="1" t="s">
        <v>23</v>
      </c>
      <c r="O149" s="1" t="s">
        <v>5131</v>
      </c>
      <c r="P149" s="1">
        <f>31-633759901</f>
        <v>-633759870</v>
      </c>
      <c r="Q149" s="1">
        <v>2013</v>
      </c>
    </row>
    <row r="150" spans="1:17" s="1" customFormat="1" x14ac:dyDescent="0.25">
      <c r="A150" s="1" t="s">
        <v>15</v>
      </c>
      <c r="B150" s="1">
        <v>4139348</v>
      </c>
      <c r="C150" s="1" t="s">
        <v>4656</v>
      </c>
      <c r="D150" s="1" t="s">
        <v>4657</v>
      </c>
      <c r="E150" s="1" t="s">
        <v>528</v>
      </c>
      <c r="I150" s="2">
        <v>34147</v>
      </c>
      <c r="J150" s="1" t="s">
        <v>19</v>
      </c>
      <c r="K150" s="1" t="s">
        <v>20</v>
      </c>
      <c r="L150" s="1" t="s">
        <v>4658</v>
      </c>
      <c r="M150" s="1" t="s">
        <v>4659</v>
      </c>
      <c r="N150" s="1" t="s">
        <v>23</v>
      </c>
      <c r="O150" s="1" t="s">
        <v>4660</v>
      </c>
      <c r="P150" s="1">
        <f>31-638714619</f>
        <v>-638714588</v>
      </c>
      <c r="Q150" s="1">
        <v>2011</v>
      </c>
    </row>
    <row r="151" spans="1:17" s="1" customFormat="1" x14ac:dyDescent="0.25">
      <c r="A151" s="1" t="s">
        <v>15</v>
      </c>
      <c r="B151" s="1">
        <v>4273435</v>
      </c>
      <c r="C151" s="1" t="s">
        <v>5132</v>
      </c>
      <c r="D151" s="1" t="s">
        <v>5133</v>
      </c>
      <c r="E151" s="1" t="s">
        <v>5134</v>
      </c>
      <c r="I151" s="2">
        <v>34552</v>
      </c>
      <c r="J151" s="1" t="s">
        <v>19</v>
      </c>
      <c r="K151" s="1" t="s">
        <v>111</v>
      </c>
      <c r="L151" s="1" t="s">
        <v>5135</v>
      </c>
      <c r="M151" s="1" t="s">
        <v>5136</v>
      </c>
      <c r="N151" s="1" t="s">
        <v>23</v>
      </c>
      <c r="O151" s="1" t="s">
        <v>5137</v>
      </c>
      <c r="P151" s="1">
        <f>31-614950603</f>
        <v>-614950572</v>
      </c>
      <c r="Q151" s="1">
        <v>2013</v>
      </c>
    </row>
    <row r="152" spans="1:17" s="1" customFormat="1" x14ac:dyDescent="0.25">
      <c r="A152" s="1" t="s">
        <v>45</v>
      </c>
      <c r="B152" s="1">
        <v>4129881</v>
      </c>
      <c r="C152" s="29" t="s">
        <v>4666</v>
      </c>
      <c r="D152" s="1" t="s">
        <v>4667</v>
      </c>
      <c r="E152" s="1" t="s">
        <v>4668</v>
      </c>
      <c r="I152" s="2">
        <v>32643</v>
      </c>
      <c r="J152" s="1" t="s">
        <v>19</v>
      </c>
      <c r="K152" s="1" t="s">
        <v>20</v>
      </c>
      <c r="L152" s="1" t="s">
        <v>4669</v>
      </c>
      <c r="M152" s="1" t="s">
        <v>4670</v>
      </c>
      <c r="N152" s="1" t="s">
        <v>23</v>
      </c>
      <c r="O152" s="1" t="s">
        <v>4671</v>
      </c>
      <c r="P152" s="1">
        <f>31-626663931</f>
        <v>-626663900</v>
      </c>
      <c r="Q152" s="1">
        <v>2010</v>
      </c>
    </row>
    <row r="153" spans="1:17" s="1" customFormat="1" x14ac:dyDescent="0.25">
      <c r="A153" s="1" t="s">
        <v>15</v>
      </c>
      <c r="B153" s="1">
        <v>4279883</v>
      </c>
      <c r="C153" s="1" t="s">
        <v>4672</v>
      </c>
      <c r="D153" s="1" t="s">
        <v>4673</v>
      </c>
      <c r="E153" s="1" t="s">
        <v>1582</v>
      </c>
      <c r="I153" s="2">
        <v>34527</v>
      </c>
      <c r="J153" s="1" t="s">
        <v>19</v>
      </c>
      <c r="K153" s="1" t="s">
        <v>20</v>
      </c>
      <c r="L153" s="1" t="s">
        <v>4674</v>
      </c>
      <c r="M153" s="1" t="s">
        <v>4675</v>
      </c>
      <c r="N153" s="1" t="s">
        <v>23</v>
      </c>
      <c r="O153" s="1" t="s">
        <v>4676</v>
      </c>
      <c r="P153" s="1">
        <f>31-620467051</f>
        <v>-620467020</v>
      </c>
      <c r="Q153" s="1">
        <v>2013</v>
      </c>
    </row>
    <row r="154" spans="1:17" s="1" customFormat="1" x14ac:dyDescent="0.25">
      <c r="A154" s="1" t="s">
        <v>45</v>
      </c>
      <c r="B154" s="1">
        <v>4223284</v>
      </c>
      <c r="C154" s="29" t="s">
        <v>5138</v>
      </c>
      <c r="D154" s="1" t="s">
        <v>5139</v>
      </c>
      <c r="E154" s="1" t="s">
        <v>5140</v>
      </c>
      <c r="I154" s="2">
        <v>34322</v>
      </c>
      <c r="J154" s="1" t="s">
        <v>19</v>
      </c>
      <c r="K154" s="1" t="s">
        <v>111</v>
      </c>
      <c r="L154" s="1" t="s">
        <v>5141</v>
      </c>
      <c r="M154" s="1" t="s">
        <v>5142</v>
      </c>
      <c r="N154" s="1" t="s">
        <v>23</v>
      </c>
      <c r="O154" s="1" t="s">
        <v>5143</v>
      </c>
      <c r="P154" s="1">
        <f>31-646022760</f>
        <v>-646022729</v>
      </c>
      <c r="Q154" s="1">
        <v>2012</v>
      </c>
    </row>
    <row r="155" spans="1:17" s="1" customFormat="1" x14ac:dyDescent="0.25">
      <c r="A155" s="1" t="s">
        <v>15</v>
      </c>
      <c r="B155" s="1">
        <v>4294858</v>
      </c>
      <c r="C155" s="1" t="s">
        <v>4677</v>
      </c>
      <c r="D155" s="1" t="s">
        <v>4678</v>
      </c>
      <c r="E155" s="1" t="s">
        <v>1942</v>
      </c>
      <c r="I155" s="2">
        <v>34249</v>
      </c>
      <c r="J155" s="1" t="s">
        <v>19</v>
      </c>
      <c r="K155" s="1" t="s">
        <v>20</v>
      </c>
      <c r="L155" s="1" t="s">
        <v>4679</v>
      </c>
      <c r="M155" s="1" t="s">
        <v>4680</v>
      </c>
      <c r="N155" s="1" t="s">
        <v>23</v>
      </c>
      <c r="O155" s="1" t="s">
        <v>4681</v>
      </c>
      <c r="P155" s="1">
        <f>31-610609719</f>
        <v>-610609688</v>
      </c>
      <c r="Q155" s="1">
        <v>2013</v>
      </c>
    </row>
    <row r="156" spans="1:17" s="1" customFormat="1" x14ac:dyDescent="0.25">
      <c r="A156" s="1" t="s">
        <v>15</v>
      </c>
      <c r="B156" s="1">
        <v>4272994</v>
      </c>
      <c r="C156" s="1" t="s">
        <v>4682</v>
      </c>
      <c r="D156" s="1" t="s">
        <v>4683</v>
      </c>
      <c r="E156" s="1" t="s">
        <v>230</v>
      </c>
      <c r="I156" s="2">
        <v>34237</v>
      </c>
      <c r="J156" s="1" t="s">
        <v>19</v>
      </c>
      <c r="K156" s="1" t="s">
        <v>20</v>
      </c>
      <c r="L156" s="1" t="s">
        <v>4684</v>
      </c>
      <c r="M156" s="1" t="s">
        <v>4685</v>
      </c>
      <c r="N156" s="1" t="s">
        <v>23</v>
      </c>
      <c r="O156" s="1" t="s">
        <v>4686</v>
      </c>
      <c r="P156" s="1">
        <f>31-647829109</f>
        <v>-647829078</v>
      </c>
      <c r="Q156" s="1">
        <v>2013</v>
      </c>
    </row>
    <row r="157" spans="1:17" s="1" customFormat="1" x14ac:dyDescent="0.25">
      <c r="A157" s="1" t="s">
        <v>15</v>
      </c>
      <c r="B157" s="1">
        <v>4293304</v>
      </c>
      <c r="C157" s="1" t="s">
        <v>4687</v>
      </c>
      <c r="D157" s="1" t="s">
        <v>4688</v>
      </c>
      <c r="E157" s="1" t="s">
        <v>130</v>
      </c>
      <c r="I157" s="2">
        <v>34342</v>
      </c>
      <c r="J157" s="1" t="s">
        <v>19</v>
      </c>
      <c r="K157" s="1" t="s">
        <v>20</v>
      </c>
      <c r="L157" s="1" t="s">
        <v>4689</v>
      </c>
      <c r="M157" s="1" t="s">
        <v>4690</v>
      </c>
      <c r="N157" s="1" t="s">
        <v>23</v>
      </c>
      <c r="O157" s="1" t="s">
        <v>4691</v>
      </c>
      <c r="P157" s="1">
        <f>31-641888388</f>
        <v>-641888357</v>
      </c>
      <c r="Q157" s="1">
        <v>2013</v>
      </c>
    </row>
    <row r="158" spans="1:17" s="1" customFormat="1" x14ac:dyDescent="0.25">
      <c r="A158" s="1" t="s">
        <v>15</v>
      </c>
      <c r="B158" s="1">
        <v>4272927</v>
      </c>
      <c r="C158" s="1" t="s">
        <v>5144</v>
      </c>
      <c r="D158" s="1" t="s">
        <v>5145</v>
      </c>
      <c r="E158" s="1" t="s">
        <v>5146</v>
      </c>
      <c r="I158" s="2">
        <v>34323</v>
      </c>
      <c r="J158" s="1" t="s">
        <v>19</v>
      </c>
      <c r="K158" s="1" t="s">
        <v>111</v>
      </c>
      <c r="L158" s="1" t="s">
        <v>5147</v>
      </c>
      <c r="M158" s="1" t="s">
        <v>5148</v>
      </c>
      <c r="N158" s="1" t="s">
        <v>23</v>
      </c>
      <c r="O158" s="1" t="s">
        <v>5149</v>
      </c>
      <c r="Q158" s="1">
        <v>2013</v>
      </c>
    </row>
    <row r="159" spans="1:17" s="1" customFormat="1" x14ac:dyDescent="0.25">
      <c r="A159" s="1" t="s">
        <v>15</v>
      </c>
      <c r="B159" s="1">
        <v>4324676</v>
      </c>
      <c r="C159" s="1" t="s">
        <v>5150</v>
      </c>
      <c r="D159" s="1" t="s">
        <v>5151</v>
      </c>
      <c r="E159" s="1" t="s">
        <v>5152</v>
      </c>
      <c r="I159" s="2">
        <v>34635</v>
      </c>
      <c r="J159" s="1" t="s">
        <v>19</v>
      </c>
      <c r="K159" s="1" t="s">
        <v>111</v>
      </c>
      <c r="L159" s="1" t="s">
        <v>5153</v>
      </c>
      <c r="M159" s="1" t="s">
        <v>5154</v>
      </c>
      <c r="N159" s="1" t="s">
        <v>23</v>
      </c>
      <c r="O159" s="1" t="s">
        <v>5155</v>
      </c>
      <c r="P159" s="1">
        <f>31-646793570</f>
        <v>-646793539</v>
      </c>
      <c r="Q159" s="1">
        <v>2013</v>
      </c>
    </row>
    <row r="160" spans="1:17" s="1" customFormat="1" x14ac:dyDescent="0.25">
      <c r="A160" s="1" t="s">
        <v>15</v>
      </c>
      <c r="B160" s="1">
        <v>4305973</v>
      </c>
      <c r="C160" s="1" t="s">
        <v>4697</v>
      </c>
      <c r="D160" s="1" t="s">
        <v>4698</v>
      </c>
      <c r="E160" s="1" t="s">
        <v>696</v>
      </c>
      <c r="I160" s="2">
        <v>34397</v>
      </c>
      <c r="J160" s="1" t="s">
        <v>19</v>
      </c>
      <c r="K160" s="1" t="s">
        <v>20</v>
      </c>
      <c r="L160" s="1" t="s">
        <v>4699</v>
      </c>
      <c r="M160" s="1" t="s">
        <v>4700</v>
      </c>
      <c r="N160" s="1" t="s">
        <v>23</v>
      </c>
      <c r="O160" s="1" t="s">
        <v>4701</v>
      </c>
      <c r="P160" s="1">
        <f>31-634047757</f>
        <v>-634047726</v>
      </c>
      <c r="Q160" s="1">
        <v>2013</v>
      </c>
    </row>
    <row r="161" spans="1:17" s="1" customFormat="1" x14ac:dyDescent="0.25">
      <c r="A161" s="1" t="s">
        <v>15</v>
      </c>
      <c r="B161" s="1">
        <v>4270606</v>
      </c>
      <c r="C161" s="1" t="s">
        <v>4702</v>
      </c>
      <c r="D161" s="1" t="s">
        <v>4703</v>
      </c>
      <c r="E161" s="1" t="s">
        <v>637</v>
      </c>
      <c r="I161" s="2">
        <v>34978</v>
      </c>
      <c r="J161" s="1" t="s">
        <v>19</v>
      </c>
      <c r="K161" s="1" t="s">
        <v>20</v>
      </c>
      <c r="L161" s="1" t="s">
        <v>4704</v>
      </c>
      <c r="M161" s="1" t="s">
        <v>4705</v>
      </c>
      <c r="N161" s="1" t="s">
        <v>23</v>
      </c>
      <c r="O161" s="1" t="s">
        <v>4706</v>
      </c>
      <c r="P161" s="1">
        <f>31-653482187</f>
        <v>-653482156</v>
      </c>
      <c r="Q161" s="1">
        <v>2013</v>
      </c>
    </row>
    <row r="162" spans="1:17" s="1" customFormat="1" x14ac:dyDescent="0.25">
      <c r="A162" s="1" t="s">
        <v>15</v>
      </c>
      <c r="B162" s="1">
        <v>4221486</v>
      </c>
      <c r="C162" s="1" t="s">
        <v>4712</v>
      </c>
      <c r="D162" s="1" t="s">
        <v>4713</v>
      </c>
      <c r="E162" s="1" t="s">
        <v>4714</v>
      </c>
      <c r="I162" s="2">
        <v>34609</v>
      </c>
      <c r="J162" s="1" t="s">
        <v>19</v>
      </c>
      <c r="K162" s="1" t="s">
        <v>20</v>
      </c>
      <c r="L162" s="1" t="s">
        <v>4715</v>
      </c>
      <c r="M162" s="1" t="s">
        <v>4716</v>
      </c>
      <c r="N162" s="1" t="s">
        <v>23</v>
      </c>
      <c r="O162" s="1" t="s">
        <v>4717</v>
      </c>
      <c r="P162" s="1">
        <f>31-653722006</f>
        <v>-653721975</v>
      </c>
      <c r="Q162" s="1">
        <v>2013</v>
      </c>
    </row>
    <row r="163" spans="1:17" s="1" customFormat="1" x14ac:dyDescent="0.25">
      <c r="A163" s="1" t="s">
        <v>15</v>
      </c>
      <c r="B163" s="1">
        <v>4282485</v>
      </c>
      <c r="C163" s="1" t="s">
        <v>3728</v>
      </c>
      <c r="D163" s="1" t="s">
        <v>5156</v>
      </c>
      <c r="E163" s="1" t="s">
        <v>5157</v>
      </c>
      <c r="I163" s="2">
        <v>34926</v>
      </c>
      <c r="J163" s="1" t="s">
        <v>19</v>
      </c>
      <c r="K163" s="1" t="s">
        <v>111</v>
      </c>
      <c r="L163" s="1" t="s">
        <v>5158</v>
      </c>
      <c r="M163" s="1" t="s">
        <v>5159</v>
      </c>
      <c r="N163" s="1" t="s">
        <v>23</v>
      </c>
      <c r="O163" s="1" t="s">
        <v>5160</v>
      </c>
      <c r="P163" s="1">
        <f>31-646327670</f>
        <v>-646327639</v>
      </c>
      <c r="Q163" s="1">
        <v>2013</v>
      </c>
    </row>
    <row r="164" spans="1:17" s="1" customFormat="1" x14ac:dyDescent="0.25">
      <c r="A164" s="1" t="s">
        <v>15</v>
      </c>
      <c r="B164" s="1">
        <v>4292154</v>
      </c>
      <c r="C164" s="1" t="s">
        <v>4723</v>
      </c>
      <c r="D164" s="1" t="s">
        <v>4724</v>
      </c>
      <c r="E164" s="1" t="s">
        <v>4725</v>
      </c>
      <c r="I164" s="2">
        <v>34590</v>
      </c>
      <c r="J164" s="1" t="s">
        <v>19</v>
      </c>
      <c r="K164" s="1" t="s">
        <v>20</v>
      </c>
      <c r="L164" s="1" t="s">
        <v>4726</v>
      </c>
      <c r="M164" s="1" t="s">
        <v>4727</v>
      </c>
      <c r="N164" s="1" t="s">
        <v>23</v>
      </c>
      <c r="O164" s="1" t="s">
        <v>4728</v>
      </c>
      <c r="P164" s="1">
        <f>31-654260909</f>
        <v>-654260878</v>
      </c>
      <c r="Q164" s="1">
        <v>2013</v>
      </c>
    </row>
    <row r="165" spans="1:17" s="1" customFormat="1" x14ac:dyDescent="0.25">
      <c r="A165" s="1" t="s">
        <v>15</v>
      </c>
      <c r="B165" s="1">
        <v>4329139</v>
      </c>
      <c r="C165" s="1" t="s">
        <v>4729</v>
      </c>
      <c r="D165" s="1" t="s">
        <v>4730</v>
      </c>
      <c r="E165" s="1" t="s">
        <v>4731</v>
      </c>
      <c r="I165" s="2">
        <v>34059</v>
      </c>
      <c r="J165" s="1" t="s">
        <v>19</v>
      </c>
      <c r="K165" s="1" t="s">
        <v>20</v>
      </c>
      <c r="L165" s="1" t="s">
        <v>4732</v>
      </c>
      <c r="M165" s="1" t="s">
        <v>4733</v>
      </c>
      <c r="N165" s="1" t="s">
        <v>23</v>
      </c>
      <c r="O165" s="1" t="s">
        <v>4734</v>
      </c>
      <c r="P165" s="1">
        <f>31-647086243</f>
        <v>-647086212</v>
      </c>
      <c r="Q165" s="1">
        <v>2013</v>
      </c>
    </row>
    <row r="166" spans="1:17" s="1" customFormat="1" x14ac:dyDescent="0.25">
      <c r="A166" s="1" t="s">
        <v>15</v>
      </c>
      <c r="B166" s="1">
        <v>4289706</v>
      </c>
      <c r="C166" s="1" t="s">
        <v>4735</v>
      </c>
      <c r="D166" s="1" t="s">
        <v>4736</v>
      </c>
      <c r="E166" s="1" t="s">
        <v>4737</v>
      </c>
      <c r="I166" s="2">
        <v>33588</v>
      </c>
      <c r="J166" s="1" t="s">
        <v>19</v>
      </c>
      <c r="K166" s="1" t="s">
        <v>20</v>
      </c>
      <c r="L166" s="1" t="s">
        <v>4738</v>
      </c>
      <c r="M166" s="1" t="s">
        <v>4739</v>
      </c>
      <c r="N166" s="1" t="s">
        <v>23</v>
      </c>
      <c r="O166" s="1" t="s">
        <v>4740</v>
      </c>
      <c r="P166" s="1">
        <f>31-634386266</f>
        <v>-634386235</v>
      </c>
      <c r="Q166" s="1">
        <v>2013</v>
      </c>
    </row>
    <row r="167" spans="1:17" s="1" customFormat="1" x14ac:dyDescent="0.25">
      <c r="A167" s="1" t="s">
        <v>15</v>
      </c>
      <c r="B167" s="1">
        <v>4312260</v>
      </c>
      <c r="C167" s="1" t="s">
        <v>1199</v>
      </c>
      <c r="D167" s="1" t="s">
        <v>4747</v>
      </c>
      <c r="E167" s="1" t="s">
        <v>4748</v>
      </c>
      <c r="I167" s="2">
        <v>34764</v>
      </c>
      <c r="J167" s="1" t="s">
        <v>19</v>
      </c>
      <c r="K167" s="1" t="s">
        <v>20</v>
      </c>
      <c r="L167" s="1" t="s">
        <v>4749</v>
      </c>
      <c r="M167" s="1" t="s">
        <v>4750</v>
      </c>
      <c r="N167" s="1" t="s">
        <v>23</v>
      </c>
      <c r="O167" s="1" t="s">
        <v>4751</v>
      </c>
      <c r="P167" s="1">
        <f>31-642151953</f>
        <v>-642151922</v>
      </c>
      <c r="Q167" s="1">
        <v>2013</v>
      </c>
    </row>
    <row r="168" spans="1:17" s="1" customFormat="1" x14ac:dyDescent="0.25">
      <c r="A168" s="1" t="s">
        <v>15</v>
      </c>
      <c r="B168" s="1">
        <v>4272854</v>
      </c>
      <c r="C168" s="1" t="s">
        <v>4752</v>
      </c>
      <c r="D168" s="1" t="s">
        <v>4753</v>
      </c>
      <c r="E168" s="1" t="s">
        <v>2637</v>
      </c>
      <c r="I168" s="2">
        <v>34667</v>
      </c>
      <c r="J168" s="1" t="s">
        <v>19</v>
      </c>
      <c r="K168" s="1" t="s">
        <v>20</v>
      </c>
      <c r="L168" s="1" t="s">
        <v>4754</v>
      </c>
      <c r="M168" s="1" t="s">
        <v>4755</v>
      </c>
      <c r="N168" s="1" t="s">
        <v>23</v>
      </c>
      <c r="O168" s="1" t="s">
        <v>4756</v>
      </c>
      <c r="P168" s="1">
        <f>31-640474758</f>
        <v>-640474727</v>
      </c>
      <c r="Q168" s="1">
        <v>2013</v>
      </c>
    </row>
    <row r="169" spans="1:17" s="1" customFormat="1" x14ac:dyDescent="0.25">
      <c r="A169" s="1" t="s">
        <v>15</v>
      </c>
      <c r="B169" s="1">
        <v>4280865</v>
      </c>
      <c r="C169" s="1" t="s">
        <v>4757</v>
      </c>
      <c r="D169" s="1" t="s">
        <v>4758</v>
      </c>
      <c r="E169" s="1" t="s">
        <v>900</v>
      </c>
      <c r="I169" s="2">
        <v>34729</v>
      </c>
      <c r="J169" s="1" t="s">
        <v>19</v>
      </c>
      <c r="K169" s="1" t="s">
        <v>20</v>
      </c>
      <c r="L169" s="1" t="s">
        <v>4759</v>
      </c>
      <c r="M169" s="1" t="s">
        <v>4760</v>
      </c>
      <c r="N169" s="1" t="s">
        <v>23</v>
      </c>
      <c r="O169" s="1" t="s">
        <v>4761</v>
      </c>
      <c r="P169" s="1">
        <f>31-610864137</f>
        <v>-610864106</v>
      </c>
      <c r="Q169" s="1">
        <v>2013</v>
      </c>
    </row>
    <row r="170" spans="1:17" s="1" customFormat="1" x14ac:dyDescent="0.25">
      <c r="A170" s="1" t="s">
        <v>15</v>
      </c>
      <c r="B170" s="1">
        <v>4272196</v>
      </c>
      <c r="C170" s="1" t="s">
        <v>4762</v>
      </c>
      <c r="D170" s="1" t="s">
        <v>4763</v>
      </c>
      <c r="E170" s="1" t="s">
        <v>443</v>
      </c>
      <c r="I170" s="2">
        <v>34779</v>
      </c>
      <c r="J170" s="1" t="s">
        <v>19</v>
      </c>
      <c r="K170" s="1" t="s">
        <v>20</v>
      </c>
      <c r="L170" s="1" t="s">
        <v>4764</v>
      </c>
      <c r="M170" s="1" t="s">
        <v>4765</v>
      </c>
      <c r="N170" s="1" t="s">
        <v>23</v>
      </c>
      <c r="O170" s="1" t="s">
        <v>4766</v>
      </c>
      <c r="P170" s="1">
        <f>31-646304949</f>
        <v>-646304918</v>
      </c>
      <c r="Q170" s="1">
        <v>2013</v>
      </c>
    </row>
    <row r="171" spans="1:17" s="1" customFormat="1" x14ac:dyDescent="0.25">
      <c r="A171" s="1" t="s">
        <v>15</v>
      </c>
      <c r="B171" s="1">
        <v>4288262</v>
      </c>
      <c r="C171" s="1" t="s">
        <v>4762</v>
      </c>
      <c r="D171" s="1" t="s">
        <v>4767</v>
      </c>
      <c r="E171" s="1" t="s">
        <v>1236</v>
      </c>
      <c r="I171" s="2">
        <v>34870</v>
      </c>
      <c r="J171" s="1" t="s">
        <v>19</v>
      </c>
      <c r="K171" s="1" t="s">
        <v>20</v>
      </c>
      <c r="L171" s="1" t="s">
        <v>4768</v>
      </c>
      <c r="M171" s="1" t="s">
        <v>4769</v>
      </c>
      <c r="N171" s="1" t="s">
        <v>23</v>
      </c>
      <c r="O171" s="1" t="s">
        <v>4770</v>
      </c>
      <c r="P171" s="1">
        <f>31-616215258</f>
        <v>-616215227</v>
      </c>
      <c r="Q171" s="1">
        <v>2013</v>
      </c>
    </row>
    <row r="172" spans="1:17" s="1" customFormat="1" x14ac:dyDescent="0.25">
      <c r="A172" s="1" t="s">
        <v>15</v>
      </c>
      <c r="B172" s="1">
        <v>4289110</v>
      </c>
      <c r="C172" s="1" t="s">
        <v>3748</v>
      </c>
      <c r="D172" s="1" t="s">
        <v>3749</v>
      </c>
      <c r="E172" s="1" t="s">
        <v>3750</v>
      </c>
      <c r="I172" s="2">
        <v>34672</v>
      </c>
      <c r="J172" s="1" t="s">
        <v>19</v>
      </c>
      <c r="K172" s="1" t="s">
        <v>20</v>
      </c>
      <c r="L172" s="1" t="s">
        <v>3751</v>
      </c>
      <c r="M172" s="1" t="s">
        <v>3752</v>
      </c>
      <c r="N172" s="1" t="s">
        <v>23</v>
      </c>
      <c r="O172" s="1" t="s">
        <v>3753</v>
      </c>
      <c r="P172" s="1">
        <f>31-642685425</f>
        <v>-642685394</v>
      </c>
      <c r="Q172" s="1">
        <v>2013</v>
      </c>
    </row>
    <row r="173" spans="1:17" s="1" customFormat="1" x14ac:dyDescent="0.25">
      <c r="A173" s="1" t="s">
        <v>15</v>
      </c>
      <c r="B173" s="1">
        <v>4273117</v>
      </c>
      <c r="C173" s="1" t="s">
        <v>4771</v>
      </c>
      <c r="D173" s="1" t="s">
        <v>4772</v>
      </c>
      <c r="E173" s="1" t="s">
        <v>528</v>
      </c>
      <c r="I173" s="2">
        <v>35089</v>
      </c>
      <c r="J173" s="1" t="s">
        <v>19</v>
      </c>
      <c r="K173" s="1" t="s">
        <v>20</v>
      </c>
      <c r="L173" s="1" t="s">
        <v>4773</v>
      </c>
      <c r="M173" s="1" t="s">
        <v>4774</v>
      </c>
      <c r="N173" s="1" t="s">
        <v>23</v>
      </c>
      <c r="O173" s="1" t="s">
        <v>4775</v>
      </c>
      <c r="P173" s="1">
        <f>31-612134965</f>
        <v>-612134934</v>
      </c>
      <c r="Q173" s="1">
        <v>2013</v>
      </c>
    </row>
    <row r="174" spans="1:17" s="1" customFormat="1" x14ac:dyDescent="0.25">
      <c r="A174" s="1" t="s">
        <v>15</v>
      </c>
      <c r="B174" s="1">
        <v>4291719</v>
      </c>
      <c r="C174" s="1" t="s">
        <v>4776</v>
      </c>
      <c r="D174" s="1" t="s">
        <v>4777</v>
      </c>
      <c r="E174" s="1" t="s">
        <v>230</v>
      </c>
      <c r="I174" s="2">
        <v>34409</v>
      </c>
      <c r="J174" s="1" t="s">
        <v>19</v>
      </c>
      <c r="K174" s="1" t="s">
        <v>20</v>
      </c>
      <c r="L174" s="1" t="s">
        <v>4778</v>
      </c>
      <c r="M174" s="1" t="s">
        <v>4779</v>
      </c>
      <c r="N174" s="1" t="s">
        <v>23</v>
      </c>
      <c r="O174" s="1" t="s">
        <v>4780</v>
      </c>
      <c r="P174" s="1">
        <f>31-622683719</f>
        <v>-622683688</v>
      </c>
      <c r="Q174" s="1">
        <v>2013</v>
      </c>
    </row>
    <row r="175" spans="1:17" s="1" customFormat="1" x14ac:dyDescent="0.25">
      <c r="A175" s="1" t="s">
        <v>15</v>
      </c>
      <c r="B175" s="1">
        <v>4278070</v>
      </c>
      <c r="C175" s="1" t="s">
        <v>4781</v>
      </c>
      <c r="D175" s="1" t="s">
        <v>4782</v>
      </c>
      <c r="E175" s="1" t="s">
        <v>539</v>
      </c>
      <c r="I175" s="2">
        <v>34724</v>
      </c>
      <c r="J175" s="1" t="s">
        <v>19</v>
      </c>
      <c r="K175" s="1" t="s">
        <v>20</v>
      </c>
      <c r="L175" s="1" t="s">
        <v>4783</v>
      </c>
      <c r="M175" s="1" t="s">
        <v>4784</v>
      </c>
      <c r="N175" s="1" t="s">
        <v>23</v>
      </c>
      <c r="O175" s="1" t="s">
        <v>4785</v>
      </c>
      <c r="P175" s="1">
        <f>31-630823287</f>
        <v>-630823256</v>
      </c>
      <c r="Q175" s="1">
        <v>2013</v>
      </c>
    </row>
    <row r="176" spans="1:17" s="1" customFormat="1" x14ac:dyDescent="0.25">
      <c r="A176" s="1" t="s">
        <v>15</v>
      </c>
      <c r="B176" s="1">
        <v>4296516</v>
      </c>
      <c r="C176" s="1" t="s">
        <v>4786</v>
      </c>
      <c r="D176" s="1" t="s">
        <v>4787</v>
      </c>
      <c r="E176" s="1" t="s">
        <v>730</v>
      </c>
      <c r="I176" s="2">
        <v>34517</v>
      </c>
      <c r="J176" s="1" t="s">
        <v>19</v>
      </c>
      <c r="K176" s="1" t="s">
        <v>20</v>
      </c>
      <c r="L176" s="1" t="s">
        <v>4788</v>
      </c>
      <c r="M176" s="1" t="s">
        <v>4789</v>
      </c>
      <c r="N176" s="1" t="s">
        <v>23</v>
      </c>
      <c r="O176" s="1" t="s">
        <v>4790</v>
      </c>
      <c r="P176" s="1">
        <f>31-625415770</f>
        <v>-625415739</v>
      </c>
      <c r="Q176" s="1">
        <v>2013</v>
      </c>
    </row>
    <row r="177" spans="1:17" s="1" customFormat="1" x14ac:dyDescent="0.25">
      <c r="A177" s="1" t="s">
        <v>15</v>
      </c>
      <c r="B177" s="1">
        <v>4270894</v>
      </c>
      <c r="C177" s="1" t="s">
        <v>4791</v>
      </c>
      <c r="D177" s="1" t="s">
        <v>4792</v>
      </c>
      <c r="E177" s="1" t="s">
        <v>730</v>
      </c>
      <c r="I177" s="2">
        <v>34232</v>
      </c>
      <c r="J177" s="1" t="s">
        <v>19</v>
      </c>
      <c r="K177" s="1" t="s">
        <v>20</v>
      </c>
      <c r="L177" s="1" t="s">
        <v>4793</v>
      </c>
      <c r="M177" s="1" t="s">
        <v>4794</v>
      </c>
      <c r="N177" s="1" t="s">
        <v>23</v>
      </c>
      <c r="O177" s="1" t="s">
        <v>4795</v>
      </c>
      <c r="P177" s="1">
        <f>31-620998256</f>
        <v>-620998225</v>
      </c>
      <c r="Q177" s="1">
        <v>2013</v>
      </c>
    </row>
    <row r="178" spans="1:17" s="1" customFormat="1" x14ac:dyDescent="0.25">
      <c r="A178" s="1" t="s">
        <v>15</v>
      </c>
      <c r="B178" s="1">
        <v>4303784</v>
      </c>
      <c r="C178" s="1" t="s">
        <v>4791</v>
      </c>
      <c r="D178" s="1" t="s">
        <v>4796</v>
      </c>
      <c r="E178" s="1" t="s">
        <v>4797</v>
      </c>
      <c r="I178" s="2">
        <v>34832</v>
      </c>
      <c r="J178" s="1" t="s">
        <v>19</v>
      </c>
      <c r="K178" s="1" t="s">
        <v>20</v>
      </c>
      <c r="L178" s="1" t="s">
        <v>4798</v>
      </c>
      <c r="M178" s="1" t="s">
        <v>4799</v>
      </c>
      <c r="N178" s="1" t="s">
        <v>23</v>
      </c>
      <c r="O178" s="1" t="s">
        <v>4800</v>
      </c>
      <c r="P178" s="1">
        <f>31-627554408</f>
        <v>-627554377</v>
      </c>
      <c r="Q178" s="1">
        <v>2013</v>
      </c>
    </row>
    <row r="179" spans="1:17" s="1" customFormat="1" x14ac:dyDescent="0.25">
      <c r="A179" s="1" t="s">
        <v>15</v>
      </c>
      <c r="B179" s="1">
        <v>4301269</v>
      </c>
      <c r="C179" s="1" t="s">
        <v>4801</v>
      </c>
      <c r="D179" s="1" t="s">
        <v>4802</v>
      </c>
      <c r="E179" s="1" t="s">
        <v>4803</v>
      </c>
      <c r="I179" s="2">
        <v>34639</v>
      </c>
      <c r="J179" s="1" t="s">
        <v>19</v>
      </c>
      <c r="K179" s="1" t="s">
        <v>20</v>
      </c>
      <c r="L179" s="1" t="s">
        <v>4804</v>
      </c>
      <c r="M179" s="1" t="s">
        <v>4805</v>
      </c>
      <c r="N179" s="1" t="s">
        <v>23</v>
      </c>
      <c r="O179" s="1" t="s">
        <v>4806</v>
      </c>
      <c r="Q179" s="1">
        <v>2013</v>
      </c>
    </row>
    <row r="180" spans="1:17" s="1" customFormat="1" x14ac:dyDescent="0.25">
      <c r="A180" s="1" t="s">
        <v>45</v>
      </c>
      <c r="B180" s="1">
        <v>4262654</v>
      </c>
      <c r="C180" s="29" t="s">
        <v>4807</v>
      </c>
      <c r="D180" s="1" t="s">
        <v>4808</v>
      </c>
      <c r="E180" s="1" t="s">
        <v>730</v>
      </c>
      <c r="I180" s="2">
        <v>34035</v>
      </c>
      <c r="J180" s="1" t="s">
        <v>19</v>
      </c>
      <c r="K180" s="1" t="s">
        <v>20</v>
      </c>
      <c r="L180" s="1" t="s">
        <v>4809</v>
      </c>
      <c r="M180" s="1" t="s">
        <v>4810</v>
      </c>
      <c r="N180" s="1" t="s">
        <v>23</v>
      </c>
      <c r="O180" s="1" t="s">
        <v>4811</v>
      </c>
      <c r="P180" s="1">
        <f>31-681789039</f>
        <v>-681789008</v>
      </c>
      <c r="Q180" s="1">
        <v>2012</v>
      </c>
    </row>
    <row r="181" spans="1:17" s="1" customFormat="1" x14ac:dyDescent="0.25">
      <c r="A181" s="1" t="s">
        <v>15</v>
      </c>
      <c r="B181" s="1">
        <v>4042751</v>
      </c>
      <c r="C181" s="1" t="s">
        <v>5161</v>
      </c>
      <c r="D181" s="1" t="s">
        <v>5162</v>
      </c>
      <c r="E181" s="1" t="s">
        <v>5163</v>
      </c>
      <c r="I181" s="2">
        <v>33366</v>
      </c>
      <c r="J181" s="1" t="s">
        <v>19</v>
      </c>
      <c r="K181" s="1" t="s">
        <v>111</v>
      </c>
      <c r="L181" s="1" t="s">
        <v>5164</v>
      </c>
      <c r="M181" s="1" t="s">
        <v>5165</v>
      </c>
      <c r="N181" s="1" t="s">
        <v>23</v>
      </c>
      <c r="O181" s="1" t="s">
        <v>5166</v>
      </c>
      <c r="P181" s="1">
        <f>31-642442133</f>
        <v>-642442102</v>
      </c>
      <c r="Q181" s="1">
        <v>2009</v>
      </c>
    </row>
    <row r="182" spans="1:17" s="1" customFormat="1" x14ac:dyDescent="0.25">
      <c r="A182" s="1" t="s">
        <v>45</v>
      </c>
      <c r="B182" s="1">
        <v>4304640</v>
      </c>
      <c r="C182" s="29" t="s">
        <v>1351</v>
      </c>
      <c r="D182" s="1" t="s">
        <v>4818</v>
      </c>
      <c r="E182" s="1" t="s">
        <v>301</v>
      </c>
      <c r="I182" s="2">
        <v>34783</v>
      </c>
      <c r="J182" s="1" t="s">
        <v>19</v>
      </c>
      <c r="K182" s="1" t="s">
        <v>20</v>
      </c>
      <c r="L182" s="1" t="s">
        <v>4819</v>
      </c>
      <c r="M182" s="1" t="s">
        <v>4820</v>
      </c>
      <c r="N182" s="1" t="s">
        <v>23</v>
      </c>
      <c r="O182" s="1" t="s">
        <v>4821</v>
      </c>
      <c r="P182" s="1">
        <f>31-628100054</f>
        <v>-628100023</v>
      </c>
      <c r="Q182" s="1">
        <v>2013</v>
      </c>
    </row>
    <row r="183" spans="1:17" s="1" customFormat="1" x14ac:dyDescent="0.25">
      <c r="A183" s="1" t="s">
        <v>15</v>
      </c>
      <c r="B183" s="1">
        <v>4304640</v>
      </c>
      <c r="C183" s="1" t="s">
        <v>1351</v>
      </c>
      <c r="D183" s="1" t="s">
        <v>4818</v>
      </c>
      <c r="E183" s="1" t="s">
        <v>301</v>
      </c>
      <c r="I183" s="2">
        <v>34783</v>
      </c>
      <c r="J183" s="1" t="s">
        <v>19</v>
      </c>
      <c r="K183" s="1" t="s">
        <v>20</v>
      </c>
      <c r="L183" s="1" t="s">
        <v>4819</v>
      </c>
      <c r="M183" s="1" t="s">
        <v>4820</v>
      </c>
      <c r="N183" s="1" t="s">
        <v>23</v>
      </c>
      <c r="O183" s="1" t="s">
        <v>4821</v>
      </c>
      <c r="P183" s="1">
        <f>31-628100054</f>
        <v>-628100023</v>
      </c>
      <c r="Q183" s="1">
        <v>2013</v>
      </c>
    </row>
    <row r="184" spans="1:17" s="1" customFormat="1" x14ac:dyDescent="0.25">
      <c r="A184" s="1" t="s">
        <v>15</v>
      </c>
      <c r="B184" s="1">
        <v>4280784</v>
      </c>
      <c r="C184" s="1" t="s">
        <v>4822</v>
      </c>
      <c r="D184" s="1" t="s">
        <v>4823</v>
      </c>
      <c r="E184" s="1" t="s">
        <v>4824</v>
      </c>
      <c r="I184" s="2">
        <v>33773</v>
      </c>
      <c r="J184" s="1" t="s">
        <v>19</v>
      </c>
      <c r="K184" s="1" t="s">
        <v>20</v>
      </c>
      <c r="L184" s="1" t="s">
        <v>4825</v>
      </c>
      <c r="M184" s="1" t="s">
        <v>4826</v>
      </c>
      <c r="N184" s="1" t="s">
        <v>23</v>
      </c>
      <c r="O184" s="1" t="s">
        <v>4827</v>
      </c>
      <c r="P184" s="1">
        <f>31-634670567</f>
        <v>-634670536</v>
      </c>
      <c r="Q184" s="1">
        <v>2013</v>
      </c>
    </row>
    <row r="185" spans="1:17" s="1" customFormat="1" x14ac:dyDescent="0.25">
      <c r="A185" s="1" t="s">
        <v>15</v>
      </c>
      <c r="B185" s="1">
        <v>4293959</v>
      </c>
      <c r="C185" s="1" t="s">
        <v>4828</v>
      </c>
      <c r="D185" s="1" t="s">
        <v>4829</v>
      </c>
      <c r="E185" s="1" t="s">
        <v>4830</v>
      </c>
      <c r="I185" s="2">
        <v>34389</v>
      </c>
      <c r="J185" s="1" t="s">
        <v>19</v>
      </c>
      <c r="K185" s="1" t="s">
        <v>20</v>
      </c>
      <c r="L185" s="1" t="s">
        <v>4831</v>
      </c>
      <c r="M185" s="1" t="s">
        <v>4832</v>
      </c>
      <c r="N185" s="1" t="s">
        <v>23</v>
      </c>
      <c r="O185" s="1" t="s">
        <v>4833</v>
      </c>
      <c r="P185" s="1">
        <f>31-613098882</f>
        <v>-613098851</v>
      </c>
      <c r="Q185" s="1">
        <v>2013</v>
      </c>
    </row>
    <row r="186" spans="1:17" s="1" customFormat="1" x14ac:dyDescent="0.25">
      <c r="A186" s="1" t="s">
        <v>15</v>
      </c>
      <c r="B186" s="1">
        <v>4307828</v>
      </c>
      <c r="C186" s="1" t="s">
        <v>4834</v>
      </c>
      <c r="D186" s="1" t="s">
        <v>4835</v>
      </c>
      <c r="E186" s="1" t="s">
        <v>2792</v>
      </c>
      <c r="I186" s="2">
        <v>34358</v>
      </c>
      <c r="J186" s="1" t="s">
        <v>19</v>
      </c>
      <c r="K186" s="1" t="s">
        <v>20</v>
      </c>
      <c r="L186" s="1" t="s">
        <v>4836</v>
      </c>
      <c r="M186" s="1" t="s">
        <v>4837</v>
      </c>
      <c r="N186" s="1" t="s">
        <v>23</v>
      </c>
      <c r="O186" s="1" t="s">
        <v>4838</v>
      </c>
      <c r="P186" s="1">
        <f>31-642005134</f>
        <v>-642005103</v>
      </c>
      <c r="Q186" s="1">
        <v>2013</v>
      </c>
    </row>
    <row r="187" spans="1:17" s="1" customFormat="1" x14ac:dyDescent="0.25">
      <c r="A187" s="1" t="s">
        <v>15</v>
      </c>
      <c r="B187" s="1">
        <v>4323556</v>
      </c>
      <c r="C187" s="1" t="s">
        <v>1475</v>
      </c>
      <c r="D187" s="1" t="s">
        <v>5173</v>
      </c>
      <c r="E187" s="1" t="s">
        <v>5174</v>
      </c>
      <c r="I187" s="2">
        <v>34498</v>
      </c>
      <c r="J187" s="1" t="s">
        <v>19</v>
      </c>
      <c r="K187" s="1" t="s">
        <v>111</v>
      </c>
      <c r="L187" s="1" t="s">
        <v>5175</v>
      </c>
      <c r="M187" s="1" t="s">
        <v>5176</v>
      </c>
      <c r="N187" s="1" t="s">
        <v>23</v>
      </c>
      <c r="O187" s="1" t="s">
        <v>5177</v>
      </c>
      <c r="P187" s="1">
        <f>31-657567577</f>
        <v>-657567546</v>
      </c>
      <c r="Q187" s="1">
        <v>2013</v>
      </c>
    </row>
    <row r="188" spans="1:17" s="1" customFormat="1" x14ac:dyDescent="0.25">
      <c r="A188" s="1" t="s">
        <v>15</v>
      </c>
      <c r="B188" s="1">
        <v>4272005</v>
      </c>
      <c r="C188" s="1" t="s">
        <v>4839</v>
      </c>
      <c r="D188" s="1" t="s">
        <v>4840</v>
      </c>
      <c r="E188" s="1" t="s">
        <v>2271</v>
      </c>
      <c r="I188" s="2">
        <v>34812</v>
      </c>
      <c r="J188" s="1" t="s">
        <v>19</v>
      </c>
      <c r="K188" s="1" t="s">
        <v>20</v>
      </c>
      <c r="L188" s="1" t="s">
        <v>4841</v>
      </c>
      <c r="N188" s="1" t="s">
        <v>2681</v>
      </c>
      <c r="O188" s="1" t="s">
        <v>4842</v>
      </c>
      <c r="P188" s="1">
        <f>297-5656806</f>
        <v>-5656509</v>
      </c>
      <c r="Q188" s="1">
        <v>2013</v>
      </c>
    </row>
    <row r="189" spans="1:17" s="1" customFormat="1" x14ac:dyDescent="0.25">
      <c r="A189" s="1" t="s">
        <v>15</v>
      </c>
      <c r="B189" s="1">
        <v>9829763</v>
      </c>
      <c r="C189" s="1" t="s">
        <v>4843</v>
      </c>
      <c r="D189" s="1" t="s">
        <v>4844</v>
      </c>
      <c r="E189" s="1" t="s">
        <v>4845</v>
      </c>
      <c r="I189" s="2">
        <v>22025</v>
      </c>
      <c r="J189" s="1" t="s">
        <v>19</v>
      </c>
      <c r="K189" s="1" t="s">
        <v>20</v>
      </c>
      <c r="L189" s="1" t="s">
        <v>4846</v>
      </c>
      <c r="M189" s="1" t="s">
        <v>4847</v>
      </c>
      <c r="N189" s="1" t="s">
        <v>23</v>
      </c>
      <c r="O189" s="1" t="s">
        <v>4848</v>
      </c>
      <c r="Q189" s="1">
        <v>1984</v>
      </c>
    </row>
    <row r="190" spans="1:17" s="1" customFormat="1" x14ac:dyDescent="0.25">
      <c r="A190" s="1" t="s">
        <v>15</v>
      </c>
      <c r="B190" s="1">
        <v>4275047</v>
      </c>
      <c r="C190" s="1" t="s">
        <v>4849</v>
      </c>
      <c r="D190" s="1" t="s">
        <v>4850</v>
      </c>
      <c r="E190" s="1" t="s">
        <v>4851</v>
      </c>
      <c r="I190" s="2">
        <v>34330</v>
      </c>
      <c r="J190" s="1" t="s">
        <v>19</v>
      </c>
      <c r="K190" s="1" t="s">
        <v>20</v>
      </c>
      <c r="L190" s="1" t="s">
        <v>4852</v>
      </c>
      <c r="M190" s="1" t="s">
        <v>4853</v>
      </c>
      <c r="N190" s="1" t="s">
        <v>23</v>
      </c>
      <c r="O190" s="1" t="s">
        <v>4854</v>
      </c>
      <c r="P190" s="1">
        <f>31-629603431</f>
        <v>-629603400</v>
      </c>
      <c r="Q190" s="1">
        <v>2013</v>
      </c>
    </row>
    <row r="191" spans="1:17" s="1" customFormat="1" x14ac:dyDescent="0.25">
      <c r="A191" s="1" t="s">
        <v>15</v>
      </c>
      <c r="B191" s="1">
        <v>4330994</v>
      </c>
      <c r="C191" s="1" t="s">
        <v>5178</v>
      </c>
      <c r="D191" s="1" t="s">
        <v>5179</v>
      </c>
      <c r="E191" s="1" t="s">
        <v>2346</v>
      </c>
      <c r="I191" s="2">
        <v>34780</v>
      </c>
      <c r="J191" s="1" t="s">
        <v>19</v>
      </c>
      <c r="K191" s="1" t="s">
        <v>111</v>
      </c>
      <c r="L191" s="1" t="s">
        <v>5180</v>
      </c>
      <c r="M191" s="1" t="s">
        <v>4499</v>
      </c>
      <c r="N191" s="1" t="s">
        <v>23</v>
      </c>
      <c r="O191" s="1" t="s">
        <v>5181</v>
      </c>
      <c r="P191" s="1">
        <f>31-612461427</f>
        <v>-612461396</v>
      </c>
      <c r="Q191" s="1">
        <v>2013</v>
      </c>
    </row>
    <row r="192" spans="1:17" s="1" customFormat="1" x14ac:dyDescent="0.25">
      <c r="A192" s="1" t="s">
        <v>15</v>
      </c>
      <c r="B192" s="1">
        <v>4285220</v>
      </c>
      <c r="C192" s="1" t="s">
        <v>5182</v>
      </c>
      <c r="D192" s="1" t="s">
        <v>5183</v>
      </c>
      <c r="E192" s="1" t="s">
        <v>5184</v>
      </c>
      <c r="I192" s="2">
        <v>34876</v>
      </c>
      <c r="J192" s="1" t="s">
        <v>41</v>
      </c>
      <c r="K192" s="1" t="s">
        <v>111</v>
      </c>
      <c r="L192" s="1" t="s">
        <v>5185</v>
      </c>
      <c r="M192" s="1" t="s">
        <v>5186</v>
      </c>
      <c r="N192" s="1" t="s">
        <v>5187</v>
      </c>
      <c r="O192" s="1" t="s">
        <v>5188</v>
      </c>
      <c r="P192" s="1">
        <f>597-8584370</f>
        <v>-8583773</v>
      </c>
      <c r="Q192" s="1">
        <v>2013</v>
      </c>
    </row>
    <row r="193" spans="1:17" s="1" customFormat="1" x14ac:dyDescent="0.25">
      <c r="A193" s="1" t="s">
        <v>15</v>
      </c>
      <c r="B193" s="1">
        <v>4323041</v>
      </c>
      <c r="C193" s="1" t="s">
        <v>4855</v>
      </c>
      <c r="D193" s="1" t="s">
        <v>4856</v>
      </c>
      <c r="E193" s="1" t="s">
        <v>1927</v>
      </c>
      <c r="I193" s="2">
        <v>34720</v>
      </c>
      <c r="J193" s="1" t="s">
        <v>19</v>
      </c>
      <c r="K193" s="1" t="s">
        <v>20</v>
      </c>
      <c r="L193" s="1" t="s">
        <v>4857</v>
      </c>
      <c r="M193" s="1" t="s">
        <v>4858</v>
      </c>
      <c r="N193" s="1" t="s">
        <v>23</v>
      </c>
      <c r="O193" s="1" t="s">
        <v>4859</v>
      </c>
      <c r="P193" s="1">
        <f>31-629139315</f>
        <v>-629139284</v>
      </c>
      <c r="Q193" s="1">
        <v>2013</v>
      </c>
    </row>
    <row r="194" spans="1:17" s="1" customFormat="1" x14ac:dyDescent="0.25">
      <c r="A194" s="1" t="s">
        <v>15</v>
      </c>
      <c r="B194" s="1">
        <v>4298934</v>
      </c>
      <c r="C194" s="1" t="s">
        <v>4860</v>
      </c>
      <c r="D194" s="1" t="s">
        <v>4861</v>
      </c>
      <c r="E194" s="1" t="s">
        <v>1582</v>
      </c>
      <c r="I194" s="2">
        <v>34725</v>
      </c>
      <c r="J194" s="1" t="s">
        <v>19</v>
      </c>
      <c r="K194" s="1" t="s">
        <v>20</v>
      </c>
      <c r="L194" s="1" t="s">
        <v>4862</v>
      </c>
      <c r="M194" s="1" t="s">
        <v>4863</v>
      </c>
      <c r="N194" s="1" t="s">
        <v>23</v>
      </c>
      <c r="O194" s="1" t="s">
        <v>4864</v>
      </c>
      <c r="P194" s="1">
        <f>31-643488810</f>
        <v>-643488779</v>
      </c>
      <c r="Q194" s="1">
        <v>2013</v>
      </c>
    </row>
    <row r="195" spans="1:17" s="1" customFormat="1" x14ac:dyDescent="0.25">
      <c r="A195" s="1" t="s">
        <v>15</v>
      </c>
      <c r="B195" s="1">
        <v>4280431</v>
      </c>
      <c r="C195" s="1" t="s">
        <v>4865</v>
      </c>
      <c r="D195" s="1" t="s">
        <v>4866</v>
      </c>
      <c r="E195" s="1" t="s">
        <v>4867</v>
      </c>
      <c r="I195" s="2">
        <v>35131</v>
      </c>
      <c r="J195" s="1" t="s">
        <v>19</v>
      </c>
      <c r="K195" s="1" t="s">
        <v>20</v>
      </c>
      <c r="L195" s="1" t="s">
        <v>4868</v>
      </c>
      <c r="M195" s="1" t="s">
        <v>4869</v>
      </c>
      <c r="N195" s="1" t="s">
        <v>23</v>
      </c>
      <c r="O195" s="1" t="s">
        <v>4870</v>
      </c>
      <c r="P195" s="1">
        <f>31-615613011</f>
        <v>-615612980</v>
      </c>
      <c r="Q195" s="1">
        <v>2013</v>
      </c>
    </row>
    <row r="196" spans="1:17" s="1" customFormat="1" x14ac:dyDescent="0.25">
      <c r="A196" s="1" t="s">
        <v>15</v>
      </c>
      <c r="B196" s="1">
        <v>4332806</v>
      </c>
      <c r="C196" s="1" t="s">
        <v>4871</v>
      </c>
      <c r="D196" s="1" t="s">
        <v>4872</v>
      </c>
      <c r="E196" s="1" t="s">
        <v>342</v>
      </c>
      <c r="I196" s="2">
        <v>34255</v>
      </c>
      <c r="J196" s="1" t="s">
        <v>19</v>
      </c>
      <c r="K196" s="1" t="s">
        <v>20</v>
      </c>
      <c r="L196" s="1" t="s">
        <v>4873</v>
      </c>
      <c r="M196" s="1" t="s">
        <v>4874</v>
      </c>
      <c r="N196" s="1" t="s">
        <v>23</v>
      </c>
      <c r="O196" s="1" t="s">
        <v>4875</v>
      </c>
      <c r="P196" s="1">
        <f>31-637150693</f>
        <v>-637150662</v>
      </c>
      <c r="Q196" s="1">
        <v>2013</v>
      </c>
    </row>
    <row r="197" spans="1:17" s="1" customFormat="1" x14ac:dyDescent="0.25">
      <c r="A197" s="1" t="s">
        <v>45</v>
      </c>
      <c r="B197" s="1">
        <v>4279484</v>
      </c>
      <c r="C197" s="29" t="s">
        <v>4876</v>
      </c>
      <c r="D197" s="1" t="s">
        <v>4877</v>
      </c>
      <c r="E197" s="1" t="s">
        <v>4878</v>
      </c>
      <c r="I197" s="2">
        <v>34320</v>
      </c>
      <c r="J197" s="1" t="s">
        <v>19</v>
      </c>
      <c r="K197" s="1" t="s">
        <v>20</v>
      </c>
      <c r="L197" s="1" t="s">
        <v>4879</v>
      </c>
      <c r="M197" s="1" t="s">
        <v>4880</v>
      </c>
      <c r="N197" s="1" t="s">
        <v>669</v>
      </c>
      <c r="O197" s="1" t="s">
        <v>4881</v>
      </c>
      <c r="P197" s="1">
        <f>599-5270822</f>
        <v>-5270223</v>
      </c>
      <c r="Q197" s="1">
        <v>2013</v>
      </c>
    </row>
    <row r="198" spans="1:17" s="1" customFormat="1" x14ac:dyDescent="0.25">
      <c r="A198" s="1" t="s">
        <v>15</v>
      </c>
      <c r="B198" s="1">
        <v>4271718</v>
      </c>
      <c r="C198" s="1" t="s">
        <v>3585</v>
      </c>
      <c r="D198" s="1" t="s">
        <v>4882</v>
      </c>
      <c r="E198" s="1" t="s">
        <v>4883</v>
      </c>
      <c r="I198" s="2">
        <v>34564</v>
      </c>
      <c r="J198" s="1" t="s">
        <v>19</v>
      </c>
      <c r="K198" s="1" t="s">
        <v>20</v>
      </c>
      <c r="L198" s="1" t="s">
        <v>4884</v>
      </c>
      <c r="M198" s="1" t="s">
        <v>4885</v>
      </c>
      <c r="N198" s="1" t="s">
        <v>2681</v>
      </c>
      <c r="O198" s="1" t="s">
        <v>4886</v>
      </c>
      <c r="P198" s="1">
        <f>297-5930818</f>
        <v>-5930521</v>
      </c>
      <c r="Q198" s="1">
        <v>2013</v>
      </c>
    </row>
    <row r="199" spans="1:17" s="1" customFormat="1" x14ac:dyDescent="0.25">
      <c r="A199" s="1" t="s">
        <v>15</v>
      </c>
      <c r="B199" s="1">
        <v>4330862</v>
      </c>
      <c r="C199" s="1" t="s">
        <v>5189</v>
      </c>
      <c r="D199" s="1" t="s">
        <v>5190</v>
      </c>
      <c r="E199" s="1" t="s">
        <v>5191</v>
      </c>
      <c r="I199" s="2">
        <v>33978</v>
      </c>
      <c r="J199" s="1" t="s">
        <v>19</v>
      </c>
      <c r="K199" s="1" t="s">
        <v>111</v>
      </c>
      <c r="L199" s="1" t="s">
        <v>5192</v>
      </c>
      <c r="M199" s="1" t="s">
        <v>5193</v>
      </c>
      <c r="N199" s="1" t="s">
        <v>23</v>
      </c>
      <c r="O199" s="1" t="s">
        <v>5194</v>
      </c>
      <c r="P199" s="1">
        <f>31-612688216</f>
        <v>-612688185</v>
      </c>
      <c r="Q199" s="1">
        <v>2013</v>
      </c>
    </row>
    <row r="200" spans="1:17" s="1" customFormat="1" x14ac:dyDescent="0.25">
      <c r="A200" s="1" t="s">
        <v>15</v>
      </c>
      <c r="B200" s="1">
        <v>4171586</v>
      </c>
      <c r="C200" s="1" t="s">
        <v>459</v>
      </c>
      <c r="D200" s="1" t="s">
        <v>4887</v>
      </c>
      <c r="E200" s="1" t="s">
        <v>4888</v>
      </c>
      <c r="I200" s="2">
        <v>33874</v>
      </c>
      <c r="J200" s="1" t="s">
        <v>19</v>
      </c>
      <c r="K200" s="1" t="s">
        <v>20</v>
      </c>
      <c r="L200" s="1" t="s">
        <v>4889</v>
      </c>
      <c r="M200" s="1" t="s">
        <v>4890</v>
      </c>
      <c r="N200" s="1" t="s">
        <v>23</v>
      </c>
      <c r="O200" s="1" t="s">
        <v>4891</v>
      </c>
      <c r="P200" s="1">
        <f>31-621423436</f>
        <v>-621423405</v>
      </c>
      <c r="Q200" s="1">
        <v>2012</v>
      </c>
    </row>
    <row r="201" spans="1:17" s="1" customFormat="1" x14ac:dyDescent="0.25">
      <c r="A201" s="1" t="s">
        <v>15</v>
      </c>
      <c r="B201" s="1">
        <v>4268547</v>
      </c>
      <c r="C201" s="1" t="s">
        <v>4892</v>
      </c>
      <c r="D201" s="1" t="s">
        <v>4893</v>
      </c>
      <c r="E201" s="1" t="s">
        <v>68</v>
      </c>
      <c r="I201" s="2">
        <v>34614</v>
      </c>
      <c r="J201" s="1" t="s">
        <v>19</v>
      </c>
      <c r="K201" s="1" t="s">
        <v>20</v>
      </c>
      <c r="L201" s="1" t="s">
        <v>4894</v>
      </c>
      <c r="M201" s="1" t="s">
        <v>4895</v>
      </c>
      <c r="N201" s="1" t="s">
        <v>23</v>
      </c>
      <c r="O201" s="1" t="s">
        <v>4896</v>
      </c>
      <c r="Q201" s="1">
        <v>2013</v>
      </c>
    </row>
    <row r="202" spans="1:17" s="1" customFormat="1" x14ac:dyDescent="0.25">
      <c r="A202" s="1" t="s">
        <v>15</v>
      </c>
      <c r="B202" s="1">
        <v>4307429</v>
      </c>
      <c r="C202" s="1" t="s">
        <v>5195</v>
      </c>
      <c r="D202" s="1" t="s">
        <v>5196</v>
      </c>
      <c r="E202" s="1" t="s">
        <v>5197</v>
      </c>
      <c r="I202" s="2">
        <v>34936</v>
      </c>
      <c r="J202" s="1" t="s">
        <v>19</v>
      </c>
      <c r="K202" s="1" t="s">
        <v>111</v>
      </c>
      <c r="L202" s="1" t="s">
        <v>5198</v>
      </c>
      <c r="M202" s="1" t="s">
        <v>5199</v>
      </c>
      <c r="N202" s="1" t="s">
        <v>23</v>
      </c>
      <c r="O202" s="1" t="s">
        <v>5200</v>
      </c>
      <c r="P202" s="1">
        <f>31-636026422</f>
        <v>-636026391</v>
      </c>
      <c r="Q202" s="1">
        <v>2013</v>
      </c>
    </row>
    <row r="203" spans="1:17" s="1" customFormat="1" x14ac:dyDescent="0.25">
      <c r="A203" s="1" t="s">
        <v>45</v>
      </c>
      <c r="B203" s="1">
        <v>4315715</v>
      </c>
      <c r="C203" s="29" t="s">
        <v>4911</v>
      </c>
      <c r="D203" s="1" t="s">
        <v>4912</v>
      </c>
      <c r="E203" s="1" t="s">
        <v>342</v>
      </c>
      <c r="I203" s="2">
        <v>34029</v>
      </c>
      <c r="J203" s="1" t="s">
        <v>19</v>
      </c>
      <c r="K203" s="1" t="s">
        <v>20</v>
      </c>
      <c r="L203" s="1" t="s">
        <v>4913</v>
      </c>
      <c r="M203" s="1" t="s">
        <v>4914</v>
      </c>
      <c r="N203" s="1" t="s">
        <v>23</v>
      </c>
      <c r="O203" s="1" t="s">
        <v>4915</v>
      </c>
      <c r="P203" s="1">
        <f>31-624364075</f>
        <v>-624364044</v>
      </c>
      <c r="Q203" s="1">
        <v>2013</v>
      </c>
    </row>
    <row r="204" spans="1:17" s="1" customFormat="1" x14ac:dyDescent="0.25">
      <c r="A204" s="1" t="s">
        <v>15</v>
      </c>
      <c r="B204" s="1">
        <v>4274687</v>
      </c>
      <c r="C204" s="1" t="s">
        <v>4916</v>
      </c>
      <c r="D204" s="1" t="s">
        <v>4917</v>
      </c>
      <c r="E204" s="1" t="s">
        <v>4918</v>
      </c>
      <c r="I204" s="2">
        <v>34290</v>
      </c>
      <c r="J204" s="1" t="s">
        <v>19</v>
      </c>
      <c r="K204" s="1" t="s">
        <v>20</v>
      </c>
      <c r="L204" s="1" t="s">
        <v>4919</v>
      </c>
      <c r="M204" s="1" t="s">
        <v>4920</v>
      </c>
      <c r="N204" s="1" t="s">
        <v>23</v>
      </c>
      <c r="O204" s="1" t="s">
        <v>4921</v>
      </c>
      <c r="P204" s="1">
        <f>31-627385002</f>
        <v>-627384971</v>
      </c>
      <c r="Q204" s="1">
        <v>2013</v>
      </c>
    </row>
    <row r="205" spans="1:17" s="1" customFormat="1" x14ac:dyDescent="0.25">
      <c r="A205" s="1" t="s">
        <v>15</v>
      </c>
      <c r="B205" s="1">
        <v>4280806</v>
      </c>
      <c r="C205" s="1" t="s">
        <v>4922</v>
      </c>
      <c r="D205" s="1" t="s">
        <v>4923</v>
      </c>
      <c r="E205" s="1" t="s">
        <v>4924</v>
      </c>
      <c r="I205" s="2">
        <v>34598</v>
      </c>
      <c r="J205" s="1" t="s">
        <v>19</v>
      </c>
      <c r="K205" s="1" t="s">
        <v>20</v>
      </c>
      <c r="L205" s="1" t="s">
        <v>4925</v>
      </c>
      <c r="M205" s="1" t="s">
        <v>4926</v>
      </c>
      <c r="N205" s="1" t="s">
        <v>23</v>
      </c>
      <c r="O205" s="1" t="s">
        <v>4927</v>
      </c>
      <c r="P205" s="1">
        <f>31-639399081</f>
        <v>-639399050</v>
      </c>
      <c r="Q205" s="1">
        <v>2013</v>
      </c>
    </row>
    <row r="206" spans="1:17" s="1" customFormat="1" x14ac:dyDescent="0.25">
      <c r="A206" s="1" t="s">
        <v>45</v>
      </c>
      <c r="B206" s="1">
        <v>4304861</v>
      </c>
      <c r="C206" s="29" t="s">
        <v>4928</v>
      </c>
      <c r="D206" s="1" t="s">
        <v>4929</v>
      </c>
      <c r="E206" s="1" t="s">
        <v>104</v>
      </c>
      <c r="I206" s="2">
        <v>33906</v>
      </c>
      <c r="J206" s="1" t="s">
        <v>19</v>
      </c>
      <c r="K206" s="1" t="s">
        <v>20</v>
      </c>
      <c r="L206" s="1" t="s">
        <v>4930</v>
      </c>
      <c r="M206" s="1" t="s">
        <v>4931</v>
      </c>
      <c r="N206" s="1" t="s">
        <v>23</v>
      </c>
      <c r="O206" s="1" t="s">
        <v>4932</v>
      </c>
      <c r="P206" s="1">
        <f>31-681608781</f>
        <v>-681608750</v>
      </c>
      <c r="Q206" s="1">
        <v>2013</v>
      </c>
    </row>
    <row r="207" spans="1:17" s="1" customFormat="1" x14ac:dyDescent="0.25">
      <c r="A207" s="1" t="s">
        <v>15</v>
      </c>
      <c r="B207" s="1">
        <v>4293851</v>
      </c>
      <c r="C207" s="1" t="s">
        <v>4939</v>
      </c>
      <c r="D207" s="1" t="s">
        <v>4940</v>
      </c>
      <c r="E207" s="1" t="s">
        <v>4941</v>
      </c>
      <c r="I207" s="2">
        <v>30833</v>
      </c>
      <c r="J207" s="1" t="s">
        <v>19</v>
      </c>
      <c r="K207" s="1" t="s">
        <v>20</v>
      </c>
      <c r="L207" s="1" t="s">
        <v>4942</v>
      </c>
      <c r="M207" s="1" t="s">
        <v>4943</v>
      </c>
      <c r="N207" s="1" t="s">
        <v>23</v>
      </c>
      <c r="O207" s="1" t="s">
        <v>4944</v>
      </c>
      <c r="P207" s="1">
        <f>31-624985071</f>
        <v>-624985040</v>
      </c>
      <c r="Q207" s="1">
        <v>2013</v>
      </c>
    </row>
    <row r="208" spans="1:17" s="1" customFormat="1" x14ac:dyDescent="0.25">
      <c r="A208" s="1" t="s">
        <v>15</v>
      </c>
      <c r="B208" s="1">
        <v>4276639</v>
      </c>
      <c r="C208" s="1" t="s">
        <v>4945</v>
      </c>
      <c r="D208" s="1" t="s">
        <v>4946</v>
      </c>
      <c r="E208" s="1" t="s">
        <v>179</v>
      </c>
      <c r="I208" s="2">
        <v>34752</v>
      </c>
      <c r="J208" s="1" t="s">
        <v>19</v>
      </c>
      <c r="K208" s="1" t="s">
        <v>20</v>
      </c>
      <c r="L208" s="1" t="s">
        <v>4947</v>
      </c>
      <c r="M208" s="1" t="s">
        <v>4948</v>
      </c>
      <c r="N208" s="1" t="s">
        <v>23</v>
      </c>
      <c r="O208" s="1" t="s">
        <v>4949</v>
      </c>
      <c r="P208" s="1">
        <f>31-644257862</f>
        <v>-644257831</v>
      </c>
      <c r="Q208" s="1">
        <v>2013</v>
      </c>
    </row>
    <row r="209" spans="1:17" s="1" customFormat="1" x14ac:dyDescent="0.25">
      <c r="A209" s="1" t="s">
        <v>15</v>
      </c>
      <c r="B209" s="1">
        <v>4302095</v>
      </c>
      <c r="C209" s="1" t="s">
        <v>809</v>
      </c>
      <c r="D209" s="1" t="s">
        <v>4950</v>
      </c>
      <c r="E209" s="1" t="s">
        <v>265</v>
      </c>
      <c r="I209" s="2">
        <v>34663</v>
      </c>
      <c r="J209" s="1" t="s">
        <v>19</v>
      </c>
      <c r="K209" s="1" t="s">
        <v>20</v>
      </c>
      <c r="L209" s="1" t="s">
        <v>4951</v>
      </c>
      <c r="M209" s="1" t="s">
        <v>4952</v>
      </c>
      <c r="N209" s="1" t="s">
        <v>23</v>
      </c>
      <c r="O209" s="1" t="s">
        <v>4953</v>
      </c>
      <c r="P209" s="1">
        <f>31-657126806</f>
        <v>-657126775</v>
      </c>
      <c r="Q209" s="1">
        <v>2013</v>
      </c>
    </row>
    <row r="210" spans="1:17" s="1" customFormat="1" x14ac:dyDescent="0.25">
      <c r="A210" s="1" t="s">
        <v>15</v>
      </c>
      <c r="B210" s="1">
        <v>4322746</v>
      </c>
      <c r="C210" s="1" t="s">
        <v>4954</v>
      </c>
      <c r="D210" s="1" t="s">
        <v>4955</v>
      </c>
      <c r="E210" s="1" t="s">
        <v>4956</v>
      </c>
      <c r="I210" s="2">
        <v>34452</v>
      </c>
      <c r="J210" s="1" t="s">
        <v>19</v>
      </c>
      <c r="K210" s="1" t="s">
        <v>20</v>
      </c>
      <c r="L210" s="1" t="s">
        <v>4957</v>
      </c>
      <c r="M210" s="1" t="s">
        <v>4958</v>
      </c>
      <c r="N210" s="1" t="s">
        <v>23</v>
      </c>
      <c r="O210" s="1" t="s">
        <v>4959</v>
      </c>
      <c r="P210" s="1">
        <f>31-610236502</f>
        <v>-610236471</v>
      </c>
      <c r="Q210" s="1">
        <v>2013</v>
      </c>
    </row>
    <row r="211" spans="1:17" s="1" customFormat="1" x14ac:dyDescent="0.25">
      <c r="A211" s="1" t="s">
        <v>15</v>
      </c>
      <c r="B211" s="1">
        <v>4226526</v>
      </c>
      <c r="C211" s="1" t="s">
        <v>4960</v>
      </c>
      <c r="D211" s="1" t="s">
        <v>4961</v>
      </c>
      <c r="E211" s="1" t="s">
        <v>976</v>
      </c>
      <c r="I211" s="2">
        <v>34508</v>
      </c>
      <c r="J211" s="1" t="s">
        <v>19</v>
      </c>
      <c r="K211" s="1" t="s">
        <v>20</v>
      </c>
      <c r="L211" s="1" t="s">
        <v>4962</v>
      </c>
      <c r="M211" s="1" t="s">
        <v>4963</v>
      </c>
      <c r="N211" s="1" t="s">
        <v>23</v>
      </c>
      <c r="O211" s="1" t="s">
        <v>4964</v>
      </c>
      <c r="P211" s="1">
        <f>31-642127622</f>
        <v>-642127591</v>
      </c>
      <c r="Q211" s="1">
        <v>2012</v>
      </c>
    </row>
    <row r="212" spans="1:17" s="1" customFormat="1" x14ac:dyDescent="0.25">
      <c r="A212" s="1" t="s">
        <v>15</v>
      </c>
      <c r="B212" s="1">
        <v>4269241</v>
      </c>
      <c r="C212" s="1" t="s">
        <v>4960</v>
      </c>
      <c r="D212" s="1" t="s">
        <v>4965</v>
      </c>
      <c r="E212" s="1" t="s">
        <v>4966</v>
      </c>
      <c r="I212" s="2">
        <v>34838</v>
      </c>
      <c r="J212" s="1" t="s">
        <v>19</v>
      </c>
      <c r="K212" s="1" t="s">
        <v>20</v>
      </c>
      <c r="L212" s="1" t="s">
        <v>4967</v>
      </c>
      <c r="M212" s="1" t="s">
        <v>4968</v>
      </c>
      <c r="N212" s="1" t="s">
        <v>669</v>
      </c>
      <c r="O212" s="1" t="s">
        <v>4969</v>
      </c>
      <c r="P212" s="1">
        <f>599-95280773</f>
        <v>-95280174</v>
      </c>
      <c r="Q212" s="1">
        <v>2013</v>
      </c>
    </row>
    <row r="213" spans="1:17" s="1" customFormat="1" x14ac:dyDescent="0.25">
      <c r="A213" s="1" t="s">
        <v>15</v>
      </c>
      <c r="B213" s="1">
        <v>1148486</v>
      </c>
      <c r="C213" s="1" t="s">
        <v>4970</v>
      </c>
      <c r="D213" s="1" t="s">
        <v>4971</v>
      </c>
      <c r="E213" s="1" t="s">
        <v>4972</v>
      </c>
      <c r="I213" s="2">
        <v>30721</v>
      </c>
      <c r="J213" s="1" t="s">
        <v>19</v>
      </c>
      <c r="K213" s="1" t="s">
        <v>20</v>
      </c>
      <c r="L213" s="1" t="s">
        <v>4973</v>
      </c>
      <c r="M213" s="1" t="s">
        <v>4974</v>
      </c>
      <c r="N213" s="1" t="s">
        <v>23</v>
      </c>
      <c r="O213" s="1" t="s">
        <v>4975</v>
      </c>
      <c r="P213" s="1">
        <f>31-647976838</f>
        <v>-647976807</v>
      </c>
      <c r="Q213" s="1">
        <v>2002</v>
      </c>
    </row>
    <row r="214" spans="1:17" s="1" customFormat="1" x14ac:dyDescent="0.25">
      <c r="A214" s="1" t="s">
        <v>15</v>
      </c>
      <c r="B214" s="1">
        <v>4298632</v>
      </c>
      <c r="C214" s="1" t="s">
        <v>4976</v>
      </c>
      <c r="D214" s="1" t="s">
        <v>4977</v>
      </c>
      <c r="E214" s="1" t="s">
        <v>4978</v>
      </c>
      <c r="I214" s="2">
        <v>32848</v>
      </c>
      <c r="J214" s="1" t="s">
        <v>4238</v>
      </c>
      <c r="K214" s="1" t="s">
        <v>20</v>
      </c>
      <c r="L214" s="1" t="s">
        <v>4979</v>
      </c>
      <c r="M214" s="1" t="s">
        <v>4980</v>
      </c>
      <c r="N214" s="1" t="s">
        <v>23</v>
      </c>
      <c r="O214" s="1" t="s">
        <v>4981</v>
      </c>
      <c r="P214" s="1">
        <f>31-651759984</f>
        <v>-651759953</v>
      </c>
      <c r="Q214" s="1">
        <v>2013</v>
      </c>
    </row>
    <row r="215" spans="1:17" s="1" customFormat="1" x14ac:dyDescent="0.25">
      <c r="A215" s="1" t="s">
        <v>15</v>
      </c>
      <c r="B215" s="1">
        <v>4296427</v>
      </c>
      <c r="C215" s="1" t="s">
        <v>4982</v>
      </c>
      <c r="D215" s="1" t="s">
        <v>4983</v>
      </c>
      <c r="E215" s="1" t="s">
        <v>4984</v>
      </c>
      <c r="I215" s="2">
        <v>34782</v>
      </c>
      <c r="J215" s="1" t="s">
        <v>19</v>
      </c>
      <c r="K215" s="1" t="s">
        <v>20</v>
      </c>
      <c r="L215" s="1" t="s">
        <v>4985</v>
      </c>
      <c r="M215" s="1" t="s">
        <v>4986</v>
      </c>
      <c r="N215" s="1" t="s">
        <v>23</v>
      </c>
      <c r="O215" s="1" t="s">
        <v>4987</v>
      </c>
      <c r="Q215" s="1">
        <v>2013</v>
      </c>
    </row>
    <row r="216" spans="1:17" s="1" customFormat="1" x14ac:dyDescent="0.25">
      <c r="A216" s="1" t="s">
        <v>15</v>
      </c>
      <c r="B216" s="1">
        <v>4034082</v>
      </c>
      <c r="C216" s="1" t="s">
        <v>4993</v>
      </c>
      <c r="D216" s="1" t="s">
        <v>4994</v>
      </c>
      <c r="E216" s="1" t="s">
        <v>1649</v>
      </c>
      <c r="I216" s="2">
        <v>32919</v>
      </c>
      <c r="J216" s="1" t="s">
        <v>19</v>
      </c>
      <c r="K216" s="1" t="s">
        <v>20</v>
      </c>
      <c r="L216" s="1" t="s">
        <v>4995</v>
      </c>
      <c r="M216" s="1" t="s">
        <v>4996</v>
      </c>
      <c r="N216" s="1" t="s">
        <v>23</v>
      </c>
      <c r="O216" s="1" t="s">
        <v>4997</v>
      </c>
      <c r="P216" s="1">
        <f>31-617865770</f>
        <v>-617865739</v>
      </c>
      <c r="Q216" s="1">
        <v>2009</v>
      </c>
    </row>
  </sheetData>
  <autoFilter ref="A1:S1">
    <sortState ref="A2:S217">
      <sortCondition ref="C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2"/>
  <sheetViews>
    <sheetView topLeftCell="A34" workbookViewId="0">
      <selection activeCell="C60" sqref="C60"/>
    </sheetView>
  </sheetViews>
  <sheetFormatPr defaultRowHeight="15" x14ac:dyDescent="0.25"/>
  <cols>
    <col min="1" max="1" width="1.85546875" customWidth="1"/>
    <col min="2" max="2" width="10.85546875" customWidth="1"/>
    <col min="3" max="3" width="15.42578125" style="1" customWidth="1"/>
    <col min="4" max="4" width="8.85546875" style="1" customWidth="1"/>
    <col min="5" max="5" width="7.85546875" customWidth="1"/>
    <col min="6" max="6" width="5.140625" customWidth="1"/>
  </cols>
  <sheetData>
    <row r="1" spans="2:7" x14ac:dyDescent="0.25">
      <c r="B1" s="6" t="s">
        <v>5655</v>
      </c>
      <c r="C1" t="s">
        <v>5750</v>
      </c>
      <c r="D1"/>
    </row>
    <row r="2" spans="2:7" x14ac:dyDescent="0.25">
      <c r="B2" s="1" t="s">
        <v>5734</v>
      </c>
      <c r="C2" s="39">
        <v>4</v>
      </c>
      <c r="D2" s="42" t="s">
        <v>6519</v>
      </c>
      <c r="E2" s="41" t="s">
        <v>6517</v>
      </c>
    </row>
    <row r="3" spans="2:7" x14ac:dyDescent="0.25">
      <c r="B3" s="1" t="s">
        <v>5555</v>
      </c>
      <c r="C3" s="39">
        <v>8</v>
      </c>
      <c r="D3"/>
      <c r="G3">
        <f>SUM(C3:C18)</f>
        <v>119</v>
      </c>
    </row>
    <row r="4" spans="2:7" x14ac:dyDescent="0.25">
      <c r="B4" s="1" t="s">
        <v>5556</v>
      </c>
      <c r="C4" s="39">
        <v>8</v>
      </c>
      <c r="D4"/>
    </row>
    <row r="5" spans="2:7" x14ac:dyDescent="0.25">
      <c r="B5" s="1" t="s">
        <v>5557</v>
      </c>
      <c r="C5" s="39">
        <v>8</v>
      </c>
      <c r="D5"/>
    </row>
    <row r="6" spans="2:7" x14ac:dyDescent="0.25">
      <c r="B6" s="1" t="s">
        <v>5558</v>
      </c>
      <c r="C6" s="39">
        <v>8</v>
      </c>
      <c r="D6"/>
    </row>
    <row r="7" spans="2:7" x14ac:dyDescent="0.25">
      <c r="B7" s="1" t="s">
        <v>5559</v>
      </c>
      <c r="C7" s="39">
        <v>8</v>
      </c>
      <c r="D7"/>
    </row>
    <row r="8" spans="2:7" x14ac:dyDescent="0.25">
      <c r="B8" s="1" t="s">
        <v>5560</v>
      </c>
      <c r="C8" s="39">
        <v>8</v>
      </c>
      <c r="D8"/>
    </row>
    <row r="9" spans="2:7" x14ac:dyDescent="0.25">
      <c r="B9" s="1" t="s">
        <v>5561</v>
      </c>
      <c r="C9" s="39">
        <v>8</v>
      </c>
      <c r="D9"/>
    </row>
    <row r="10" spans="2:7" x14ac:dyDescent="0.25">
      <c r="B10" s="1" t="s">
        <v>5562</v>
      </c>
      <c r="C10" s="39">
        <v>7</v>
      </c>
      <c r="D10"/>
    </row>
    <row r="11" spans="2:7" x14ac:dyDescent="0.25">
      <c r="B11" s="1" t="s">
        <v>5563</v>
      </c>
      <c r="C11" s="39">
        <v>7</v>
      </c>
      <c r="D11"/>
    </row>
    <row r="12" spans="2:7" x14ac:dyDescent="0.25">
      <c r="B12" s="1" t="s">
        <v>5564</v>
      </c>
      <c r="C12" s="39">
        <v>7</v>
      </c>
      <c r="D12"/>
    </row>
    <row r="13" spans="2:7" x14ac:dyDescent="0.25">
      <c r="B13" s="1" t="s">
        <v>5565</v>
      </c>
      <c r="C13" s="39">
        <v>7</v>
      </c>
      <c r="D13"/>
    </row>
    <row r="14" spans="2:7" x14ac:dyDescent="0.25">
      <c r="B14" s="1" t="s">
        <v>5566</v>
      </c>
      <c r="C14" s="39">
        <v>7</v>
      </c>
      <c r="D14"/>
    </row>
    <row r="15" spans="2:7" x14ac:dyDescent="0.25">
      <c r="B15" s="1" t="s">
        <v>5567</v>
      </c>
      <c r="C15" s="39">
        <v>7</v>
      </c>
      <c r="D15"/>
    </row>
    <row r="16" spans="2:7" x14ac:dyDescent="0.25">
      <c r="B16" s="1" t="s">
        <v>5568</v>
      </c>
      <c r="C16" s="39">
        <v>7</v>
      </c>
      <c r="D16"/>
    </row>
    <row r="17" spans="2:7" x14ac:dyDescent="0.25">
      <c r="B17" s="1" t="s">
        <v>5569</v>
      </c>
      <c r="C17" s="39">
        <v>7</v>
      </c>
      <c r="D17"/>
    </row>
    <row r="18" spans="2:7" x14ac:dyDescent="0.25">
      <c r="B18" s="1" t="s">
        <v>5570</v>
      </c>
      <c r="C18" s="39">
        <v>7</v>
      </c>
      <c r="D18"/>
    </row>
    <row r="19" spans="2:7" x14ac:dyDescent="0.25">
      <c r="B19" s="1" t="s">
        <v>5737</v>
      </c>
      <c r="C19" s="38">
        <v>9</v>
      </c>
      <c r="D19" s="43" t="s">
        <v>6519</v>
      </c>
      <c r="E19" s="40" t="s">
        <v>6517</v>
      </c>
    </row>
    <row r="20" spans="2:7" x14ac:dyDescent="0.25">
      <c r="B20" s="1" t="s">
        <v>5571</v>
      </c>
      <c r="C20" s="38">
        <v>8</v>
      </c>
      <c r="D20"/>
      <c r="G20">
        <f>SUM(C20:C99)</f>
        <v>639</v>
      </c>
    </row>
    <row r="21" spans="2:7" x14ac:dyDescent="0.25">
      <c r="B21" s="1" t="s">
        <v>5572</v>
      </c>
      <c r="C21" s="38">
        <v>8</v>
      </c>
      <c r="D21"/>
    </row>
    <row r="22" spans="2:7" x14ac:dyDescent="0.25">
      <c r="B22" s="1" t="s">
        <v>5573</v>
      </c>
      <c r="C22" s="38">
        <v>8</v>
      </c>
      <c r="D22"/>
    </row>
    <row r="23" spans="2:7" x14ac:dyDescent="0.25">
      <c r="B23" s="1" t="s">
        <v>5574</v>
      </c>
      <c r="C23" s="38">
        <v>8</v>
      </c>
      <c r="D23"/>
    </row>
    <row r="24" spans="2:7" x14ac:dyDescent="0.25">
      <c r="B24" s="1" t="s">
        <v>5575</v>
      </c>
      <c r="C24" s="38">
        <v>8</v>
      </c>
      <c r="D24"/>
    </row>
    <row r="25" spans="2:7" x14ac:dyDescent="0.25">
      <c r="B25" s="1" t="s">
        <v>5576</v>
      </c>
      <c r="C25" s="38">
        <v>7</v>
      </c>
      <c r="D25"/>
    </row>
    <row r="26" spans="2:7" x14ac:dyDescent="0.25">
      <c r="B26" s="1" t="s">
        <v>5577</v>
      </c>
      <c r="C26" s="38">
        <v>9</v>
      </c>
      <c r="D26"/>
    </row>
    <row r="27" spans="2:7" x14ac:dyDescent="0.25">
      <c r="B27" s="1" t="s">
        <v>5578</v>
      </c>
      <c r="C27" s="38">
        <v>8</v>
      </c>
      <c r="D27"/>
    </row>
    <row r="28" spans="2:7" x14ac:dyDescent="0.25">
      <c r="B28" s="1" t="s">
        <v>5579</v>
      </c>
      <c r="C28" s="38">
        <v>8</v>
      </c>
      <c r="D28"/>
    </row>
    <row r="29" spans="2:7" x14ac:dyDescent="0.25">
      <c r="B29" s="1" t="s">
        <v>5580</v>
      </c>
      <c r="C29" s="38">
        <v>9</v>
      </c>
      <c r="D29"/>
    </row>
    <row r="30" spans="2:7" x14ac:dyDescent="0.25">
      <c r="B30" s="1" t="s">
        <v>5581</v>
      </c>
      <c r="C30" s="38">
        <v>9</v>
      </c>
      <c r="D30"/>
    </row>
    <row r="31" spans="2:7" x14ac:dyDescent="0.25">
      <c r="B31" s="1" t="s">
        <v>5582</v>
      </c>
      <c r="C31" s="38">
        <v>8</v>
      </c>
      <c r="D31"/>
    </row>
    <row r="32" spans="2:7" x14ac:dyDescent="0.25">
      <c r="B32" s="1" t="s">
        <v>5583</v>
      </c>
      <c r="C32" s="38">
        <v>8</v>
      </c>
      <c r="D32"/>
    </row>
    <row r="33" spans="2:4" x14ac:dyDescent="0.25">
      <c r="B33" s="1" t="s">
        <v>5584</v>
      </c>
      <c r="C33" s="38">
        <v>8</v>
      </c>
      <c r="D33"/>
    </row>
    <row r="34" spans="2:4" x14ac:dyDescent="0.25">
      <c r="B34" s="1" t="s">
        <v>5585</v>
      </c>
      <c r="C34" s="38">
        <v>8</v>
      </c>
      <c r="D34"/>
    </row>
    <row r="35" spans="2:4" x14ac:dyDescent="0.25">
      <c r="B35" s="1" t="s">
        <v>5586</v>
      </c>
      <c r="C35" s="38">
        <v>8</v>
      </c>
      <c r="D35"/>
    </row>
    <row r="36" spans="2:4" x14ac:dyDescent="0.25">
      <c r="B36" s="1" t="s">
        <v>5587</v>
      </c>
      <c r="C36" s="38">
        <v>8</v>
      </c>
      <c r="D36"/>
    </row>
    <row r="37" spans="2:4" x14ac:dyDescent="0.25">
      <c r="B37" s="1" t="s">
        <v>5588</v>
      </c>
      <c r="C37" s="38">
        <v>8</v>
      </c>
      <c r="D37"/>
    </row>
    <row r="38" spans="2:4" x14ac:dyDescent="0.25">
      <c r="B38" s="1" t="s">
        <v>5589</v>
      </c>
      <c r="C38" s="38">
        <v>8</v>
      </c>
      <c r="D38"/>
    </row>
    <row r="39" spans="2:4" x14ac:dyDescent="0.25">
      <c r="B39" s="1" t="s">
        <v>5590</v>
      </c>
      <c r="C39" s="38">
        <v>8</v>
      </c>
      <c r="D39"/>
    </row>
    <row r="40" spans="2:4" x14ac:dyDescent="0.25">
      <c r="B40" s="1" t="s">
        <v>5591</v>
      </c>
      <c r="C40" s="38">
        <v>8</v>
      </c>
      <c r="D40"/>
    </row>
    <row r="41" spans="2:4" x14ac:dyDescent="0.25">
      <c r="B41" s="1" t="s">
        <v>5592</v>
      </c>
      <c r="C41" s="38">
        <v>8</v>
      </c>
      <c r="D41"/>
    </row>
    <row r="42" spans="2:4" x14ac:dyDescent="0.25">
      <c r="B42" s="1" t="s">
        <v>5593</v>
      </c>
      <c r="C42" s="38">
        <v>9</v>
      </c>
      <c r="D42"/>
    </row>
    <row r="43" spans="2:4" x14ac:dyDescent="0.25">
      <c r="B43" s="1" t="s">
        <v>5594</v>
      </c>
      <c r="C43" s="38">
        <v>8</v>
      </c>
      <c r="D43"/>
    </row>
    <row r="44" spans="2:4" x14ac:dyDescent="0.25">
      <c r="B44" s="1" t="s">
        <v>5595</v>
      </c>
      <c r="C44" s="38">
        <v>8</v>
      </c>
      <c r="D44"/>
    </row>
    <row r="45" spans="2:4" x14ac:dyDescent="0.25">
      <c r="B45" s="1" t="s">
        <v>5596</v>
      </c>
      <c r="C45" s="38">
        <v>8</v>
      </c>
      <c r="D45"/>
    </row>
    <row r="46" spans="2:4" x14ac:dyDescent="0.25">
      <c r="B46" s="1" t="s">
        <v>5597</v>
      </c>
      <c r="C46" s="38">
        <v>9</v>
      </c>
      <c r="D46"/>
    </row>
    <row r="47" spans="2:4" x14ac:dyDescent="0.25">
      <c r="B47" s="1" t="s">
        <v>5598</v>
      </c>
      <c r="C47" s="38">
        <v>8</v>
      </c>
      <c r="D47"/>
    </row>
    <row r="48" spans="2:4" x14ac:dyDescent="0.25">
      <c r="B48" s="1" t="s">
        <v>5599</v>
      </c>
      <c r="C48" s="38">
        <v>8</v>
      </c>
      <c r="D48"/>
    </row>
    <row r="49" spans="2:4" x14ac:dyDescent="0.25">
      <c r="B49" s="1" t="s">
        <v>5600</v>
      </c>
      <c r="C49" s="38">
        <v>8</v>
      </c>
      <c r="D49"/>
    </row>
    <row r="50" spans="2:4" x14ac:dyDescent="0.25">
      <c r="B50" s="1" t="s">
        <v>5601</v>
      </c>
      <c r="C50" s="38">
        <v>8</v>
      </c>
      <c r="D50"/>
    </row>
    <row r="51" spans="2:4" x14ac:dyDescent="0.25">
      <c r="B51" s="1" t="s">
        <v>5602</v>
      </c>
      <c r="C51" s="38">
        <v>8</v>
      </c>
      <c r="D51"/>
    </row>
    <row r="52" spans="2:4" x14ac:dyDescent="0.25">
      <c r="B52" s="1" t="s">
        <v>5603</v>
      </c>
      <c r="C52" s="38">
        <v>8</v>
      </c>
      <c r="D52"/>
    </row>
    <row r="53" spans="2:4" x14ac:dyDescent="0.25">
      <c r="B53" s="1" t="s">
        <v>5604</v>
      </c>
      <c r="C53" s="38">
        <v>8</v>
      </c>
      <c r="D53"/>
    </row>
    <row r="54" spans="2:4" x14ac:dyDescent="0.25">
      <c r="B54" s="1" t="s">
        <v>5605</v>
      </c>
      <c r="C54" s="38">
        <v>8</v>
      </c>
      <c r="D54"/>
    </row>
    <row r="55" spans="2:4" x14ac:dyDescent="0.25">
      <c r="B55" s="1" t="s">
        <v>5606</v>
      </c>
      <c r="C55" s="38">
        <v>8</v>
      </c>
      <c r="D55"/>
    </row>
    <row r="56" spans="2:4" x14ac:dyDescent="0.25">
      <c r="B56" s="1" t="s">
        <v>5607</v>
      </c>
      <c r="C56" s="38">
        <v>8</v>
      </c>
      <c r="D56"/>
    </row>
    <row r="57" spans="2:4" x14ac:dyDescent="0.25">
      <c r="B57" s="1" t="s">
        <v>5608</v>
      </c>
      <c r="C57" s="38">
        <v>8</v>
      </c>
      <c r="D57"/>
    </row>
    <row r="58" spans="2:4" x14ac:dyDescent="0.25">
      <c r="B58" s="1" t="s">
        <v>5609</v>
      </c>
      <c r="C58" s="38">
        <v>8</v>
      </c>
      <c r="D58"/>
    </row>
    <row r="59" spans="2:4" x14ac:dyDescent="0.25">
      <c r="B59" s="1" t="s">
        <v>5610</v>
      </c>
      <c r="C59" s="38">
        <v>8</v>
      </c>
      <c r="D59"/>
    </row>
    <row r="60" spans="2:4" x14ac:dyDescent="0.25">
      <c r="B60" s="1" t="s">
        <v>5611</v>
      </c>
      <c r="C60" s="38">
        <v>7</v>
      </c>
      <c r="D60"/>
    </row>
    <row r="61" spans="2:4" x14ac:dyDescent="0.25">
      <c r="B61" s="1" t="s">
        <v>5612</v>
      </c>
      <c r="C61" s="38">
        <v>9</v>
      </c>
      <c r="D61"/>
    </row>
    <row r="62" spans="2:4" x14ac:dyDescent="0.25">
      <c r="B62" s="1" t="s">
        <v>5613</v>
      </c>
      <c r="C62" s="38">
        <v>8</v>
      </c>
      <c r="D62"/>
    </row>
    <row r="63" spans="2:4" x14ac:dyDescent="0.25">
      <c r="B63" s="1" t="s">
        <v>5614</v>
      </c>
      <c r="C63" s="38">
        <v>8</v>
      </c>
      <c r="D63"/>
    </row>
    <row r="64" spans="2:4" x14ac:dyDescent="0.25">
      <c r="B64" s="1" t="s">
        <v>5615</v>
      </c>
      <c r="C64" s="38">
        <v>8</v>
      </c>
      <c r="D64"/>
    </row>
    <row r="65" spans="2:4" x14ac:dyDescent="0.25">
      <c r="B65" s="1" t="s">
        <v>5616</v>
      </c>
      <c r="C65" s="38">
        <v>8</v>
      </c>
      <c r="D65"/>
    </row>
    <row r="66" spans="2:4" x14ac:dyDescent="0.25">
      <c r="B66" s="1" t="s">
        <v>5617</v>
      </c>
      <c r="C66" s="38">
        <v>8</v>
      </c>
      <c r="D66"/>
    </row>
    <row r="67" spans="2:4" x14ac:dyDescent="0.25">
      <c r="B67" s="1" t="s">
        <v>5618</v>
      </c>
      <c r="C67" s="38">
        <v>8</v>
      </c>
      <c r="D67"/>
    </row>
    <row r="68" spans="2:4" x14ac:dyDescent="0.25">
      <c r="B68" s="1" t="s">
        <v>5619</v>
      </c>
      <c r="C68" s="38">
        <v>7</v>
      </c>
      <c r="D68"/>
    </row>
    <row r="69" spans="2:4" x14ac:dyDescent="0.25">
      <c r="B69" s="1" t="s">
        <v>5620</v>
      </c>
      <c r="C69" s="38">
        <v>8</v>
      </c>
      <c r="D69"/>
    </row>
    <row r="70" spans="2:4" x14ac:dyDescent="0.25">
      <c r="B70" s="1" t="s">
        <v>5621</v>
      </c>
      <c r="C70" s="38">
        <v>8</v>
      </c>
      <c r="D70"/>
    </row>
    <row r="71" spans="2:4" x14ac:dyDescent="0.25">
      <c r="B71" s="1" t="s">
        <v>5622</v>
      </c>
      <c r="C71" s="38">
        <v>7</v>
      </c>
      <c r="D71"/>
    </row>
    <row r="72" spans="2:4" x14ac:dyDescent="0.25">
      <c r="B72" s="1" t="s">
        <v>5623</v>
      </c>
      <c r="C72" s="38">
        <v>8</v>
      </c>
      <c r="D72"/>
    </row>
    <row r="73" spans="2:4" x14ac:dyDescent="0.25">
      <c r="B73" s="1" t="s">
        <v>5624</v>
      </c>
      <c r="C73" s="38">
        <v>8</v>
      </c>
      <c r="D73"/>
    </row>
    <row r="74" spans="2:4" x14ac:dyDescent="0.25">
      <c r="B74" s="1" t="s">
        <v>5625</v>
      </c>
      <c r="C74" s="38">
        <v>8</v>
      </c>
      <c r="D74"/>
    </row>
    <row r="75" spans="2:4" x14ac:dyDescent="0.25">
      <c r="B75" s="1" t="s">
        <v>5626</v>
      </c>
      <c r="C75" s="38">
        <v>8</v>
      </c>
      <c r="D75"/>
    </row>
    <row r="76" spans="2:4" x14ac:dyDescent="0.25">
      <c r="B76" s="1" t="s">
        <v>5627</v>
      </c>
      <c r="C76" s="38">
        <v>8</v>
      </c>
      <c r="D76"/>
    </row>
    <row r="77" spans="2:4" x14ac:dyDescent="0.25">
      <c r="B77" s="1" t="s">
        <v>5628</v>
      </c>
      <c r="C77" s="38">
        <v>8</v>
      </c>
      <c r="D77"/>
    </row>
    <row r="78" spans="2:4" x14ac:dyDescent="0.25">
      <c r="B78" s="1" t="s">
        <v>5629</v>
      </c>
      <c r="C78" s="38">
        <v>8</v>
      </c>
      <c r="D78"/>
    </row>
    <row r="79" spans="2:4" x14ac:dyDescent="0.25">
      <c r="B79" s="1" t="s">
        <v>5630</v>
      </c>
      <c r="C79" s="38">
        <v>8</v>
      </c>
      <c r="D79"/>
    </row>
    <row r="80" spans="2:4" x14ac:dyDescent="0.25">
      <c r="B80" s="1" t="s">
        <v>5631</v>
      </c>
      <c r="C80" s="38">
        <v>8</v>
      </c>
      <c r="D80"/>
    </row>
    <row r="81" spans="2:4" x14ac:dyDescent="0.25">
      <c r="B81" s="1" t="s">
        <v>5632</v>
      </c>
      <c r="C81" s="38">
        <v>7</v>
      </c>
      <c r="D81"/>
    </row>
    <row r="82" spans="2:4" x14ac:dyDescent="0.25">
      <c r="B82" s="1" t="s">
        <v>5633</v>
      </c>
      <c r="C82" s="38">
        <v>8</v>
      </c>
      <c r="D82"/>
    </row>
    <row r="83" spans="2:4" x14ac:dyDescent="0.25">
      <c r="B83" s="1" t="s">
        <v>5634</v>
      </c>
      <c r="C83" s="38">
        <v>8</v>
      </c>
      <c r="D83"/>
    </row>
    <row r="84" spans="2:4" x14ac:dyDescent="0.25">
      <c r="B84" s="1" t="s">
        <v>5635</v>
      </c>
      <c r="C84" s="38">
        <v>9</v>
      </c>
      <c r="D84"/>
    </row>
    <row r="85" spans="2:4" x14ac:dyDescent="0.25">
      <c r="B85" s="1" t="s">
        <v>5636</v>
      </c>
      <c r="C85" s="38">
        <v>8</v>
      </c>
      <c r="D85"/>
    </row>
    <row r="86" spans="2:4" x14ac:dyDescent="0.25">
      <c r="B86" s="1" t="s">
        <v>5637</v>
      </c>
      <c r="C86" s="38">
        <v>8</v>
      </c>
      <c r="D86"/>
    </row>
    <row r="87" spans="2:4" x14ac:dyDescent="0.25">
      <c r="B87" s="1" t="s">
        <v>5638</v>
      </c>
      <c r="C87" s="38">
        <v>8</v>
      </c>
      <c r="D87"/>
    </row>
    <row r="88" spans="2:4" x14ac:dyDescent="0.25">
      <c r="B88" s="1" t="s">
        <v>5639</v>
      </c>
      <c r="C88" s="38">
        <v>8</v>
      </c>
      <c r="D88"/>
    </row>
    <row r="89" spans="2:4" x14ac:dyDescent="0.25">
      <c r="B89" s="1" t="s">
        <v>5640</v>
      </c>
      <c r="C89" s="38">
        <v>8</v>
      </c>
      <c r="D89"/>
    </row>
    <row r="90" spans="2:4" x14ac:dyDescent="0.25">
      <c r="B90" s="1" t="s">
        <v>5641</v>
      </c>
      <c r="C90" s="38">
        <v>8</v>
      </c>
      <c r="D90"/>
    </row>
    <row r="91" spans="2:4" x14ac:dyDescent="0.25">
      <c r="B91" s="1" t="s">
        <v>5642</v>
      </c>
      <c r="C91" s="38">
        <v>8</v>
      </c>
      <c r="D91"/>
    </row>
    <row r="92" spans="2:4" x14ac:dyDescent="0.25">
      <c r="B92" s="1" t="s">
        <v>5643</v>
      </c>
      <c r="C92" s="38">
        <v>8</v>
      </c>
      <c r="D92"/>
    </row>
    <row r="93" spans="2:4" x14ac:dyDescent="0.25">
      <c r="B93" s="1" t="s">
        <v>5644</v>
      </c>
      <c r="C93" s="38">
        <v>7</v>
      </c>
      <c r="D93"/>
    </row>
    <row r="94" spans="2:4" x14ac:dyDescent="0.25">
      <c r="B94" s="1" t="s">
        <v>5645</v>
      </c>
      <c r="C94" s="38">
        <v>7</v>
      </c>
      <c r="D94"/>
    </row>
    <row r="95" spans="2:4" x14ac:dyDescent="0.25">
      <c r="B95" s="1" t="s">
        <v>5646</v>
      </c>
      <c r="C95" s="38">
        <v>8</v>
      </c>
      <c r="D95"/>
    </row>
    <row r="96" spans="2:4" x14ac:dyDescent="0.25">
      <c r="B96" s="1" t="s">
        <v>5647</v>
      </c>
      <c r="C96" s="38">
        <v>8</v>
      </c>
      <c r="D96"/>
    </row>
    <row r="97" spans="2:4" x14ac:dyDescent="0.25">
      <c r="B97" s="1" t="s">
        <v>5648</v>
      </c>
      <c r="C97" s="38">
        <v>7</v>
      </c>
      <c r="D97"/>
    </row>
    <row r="98" spans="2:4" x14ac:dyDescent="0.25">
      <c r="B98" s="1" t="s">
        <v>5649</v>
      </c>
      <c r="C98" s="38">
        <v>9</v>
      </c>
      <c r="D98"/>
    </row>
    <row r="99" spans="2:4" x14ac:dyDescent="0.25">
      <c r="B99" s="1" t="s">
        <v>5650</v>
      </c>
      <c r="C99" s="38">
        <v>7</v>
      </c>
      <c r="D99"/>
    </row>
    <row r="100" spans="2:4" x14ac:dyDescent="0.25">
      <c r="B100" s="1" t="s">
        <v>5656</v>
      </c>
      <c r="C100" s="38"/>
      <c r="D100"/>
    </row>
    <row r="101" spans="2:4" x14ac:dyDescent="0.25">
      <c r="B101" s="1" t="s">
        <v>5657</v>
      </c>
      <c r="C101" s="7">
        <v>771</v>
      </c>
      <c r="D101"/>
    </row>
    <row r="102" spans="2:4" x14ac:dyDescent="0.25">
      <c r="C102"/>
      <c r="D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F9" sqref="F9"/>
    </sheetView>
  </sheetViews>
  <sheetFormatPr defaultRowHeight="15" x14ac:dyDescent="0.25"/>
  <cols>
    <col min="1" max="1" width="23.5703125" bestFit="1" customWidth="1"/>
    <col min="2" max="2" width="15.42578125" customWidth="1"/>
    <col min="3" max="3" width="3" customWidth="1"/>
    <col min="4" max="4" width="7.28515625" bestFit="1" customWidth="1"/>
    <col min="5" max="5" width="11.28515625" bestFit="1" customWidth="1"/>
  </cols>
  <sheetData>
    <row r="1" spans="1:4" x14ac:dyDescent="0.25">
      <c r="A1" s="6" t="s">
        <v>5655</v>
      </c>
      <c r="B1" t="s">
        <v>5750</v>
      </c>
    </row>
    <row r="2" spans="1:4" x14ac:dyDescent="0.25">
      <c r="A2" s="1" t="s">
        <v>45</v>
      </c>
      <c r="B2" s="7">
        <v>123</v>
      </c>
    </row>
    <row r="3" spans="1:4" x14ac:dyDescent="0.25">
      <c r="A3" s="44" t="s">
        <v>5232</v>
      </c>
      <c r="B3" s="7">
        <v>1</v>
      </c>
    </row>
    <row r="4" spans="1:4" x14ac:dyDescent="0.25">
      <c r="A4" s="44" t="s">
        <v>5227</v>
      </c>
      <c r="B4" s="7">
        <v>1</v>
      </c>
    </row>
    <row r="5" spans="1:4" hidden="1" x14ac:dyDescent="0.25">
      <c r="A5" s="44" t="s">
        <v>88</v>
      </c>
      <c r="B5" s="7">
        <v>5</v>
      </c>
    </row>
    <row r="6" spans="1:4" x14ac:dyDescent="0.25">
      <c r="A6" s="44" t="s">
        <v>5228</v>
      </c>
      <c r="B6" s="7">
        <v>1</v>
      </c>
    </row>
    <row r="7" spans="1:4" x14ac:dyDescent="0.25">
      <c r="A7" s="44" t="s">
        <v>5223</v>
      </c>
      <c r="B7" s="7">
        <v>2</v>
      </c>
    </row>
    <row r="8" spans="1:4" x14ac:dyDescent="0.25">
      <c r="A8" s="44" t="s">
        <v>5229</v>
      </c>
      <c r="B8" s="7">
        <v>1</v>
      </c>
    </row>
    <row r="9" spans="1:4" x14ac:dyDescent="0.25">
      <c r="A9" s="44" t="s">
        <v>153</v>
      </c>
      <c r="B9" s="7">
        <v>2</v>
      </c>
    </row>
    <row r="10" spans="1:4" x14ac:dyDescent="0.25">
      <c r="A10" s="44" t="s">
        <v>5226</v>
      </c>
      <c r="B10" s="7">
        <v>1</v>
      </c>
    </row>
    <row r="11" spans="1:4" x14ac:dyDescent="0.25">
      <c r="A11" s="44" t="s">
        <v>5225</v>
      </c>
      <c r="B11" s="7">
        <v>1</v>
      </c>
    </row>
    <row r="12" spans="1:4" x14ac:dyDescent="0.25">
      <c r="A12" s="44" t="s">
        <v>5222</v>
      </c>
      <c r="B12" s="7">
        <v>11</v>
      </c>
    </row>
    <row r="13" spans="1:4" x14ac:dyDescent="0.25">
      <c r="A13" s="44" t="s">
        <v>5224</v>
      </c>
      <c r="B13" s="7">
        <v>1</v>
      </c>
      <c r="D13" s="45">
        <f>SUM(B3:B13)</f>
        <v>27</v>
      </c>
    </row>
    <row r="14" spans="1:4" x14ac:dyDescent="0.25">
      <c r="A14" s="44" t="s">
        <v>5656</v>
      </c>
      <c r="B14" s="7">
        <v>96</v>
      </c>
    </row>
    <row r="15" spans="1:4" x14ac:dyDescent="0.25">
      <c r="A15" s="1" t="s">
        <v>15</v>
      </c>
      <c r="B15" s="7">
        <v>648</v>
      </c>
    </row>
    <row r="16" spans="1:4" x14ac:dyDescent="0.25">
      <c r="A16" s="44" t="s">
        <v>5249</v>
      </c>
      <c r="B16" s="7">
        <v>4</v>
      </c>
    </row>
    <row r="17" spans="1:4" x14ac:dyDescent="0.25">
      <c r="A17" s="44" t="s">
        <v>5238</v>
      </c>
      <c r="B17" s="7">
        <v>2</v>
      </c>
    </row>
    <row r="18" spans="1:4" x14ac:dyDescent="0.25">
      <c r="A18" s="44" t="s">
        <v>5239</v>
      </c>
      <c r="B18" s="7">
        <v>1</v>
      </c>
    </row>
    <row r="19" spans="1:4" x14ac:dyDescent="0.25">
      <c r="A19" s="44" t="s">
        <v>5232</v>
      </c>
      <c r="B19" s="7">
        <v>15</v>
      </c>
    </row>
    <row r="20" spans="1:4" x14ac:dyDescent="0.25">
      <c r="A20" s="44" t="s">
        <v>5227</v>
      </c>
      <c r="B20" s="7">
        <v>6</v>
      </c>
    </row>
    <row r="21" spans="1:4" x14ac:dyDescent="0.25">
      <c r="A21" s="44" t="s">
        <v>5236</v>
      </c>
      <c r="B21" s="7">
        <v>7</v>
      </c>
    </row>
    <row r="22" spans="1:4" x14ac:dyDescent="0.25">
      <c r="A22" s="44" t="s">
        <v>88</v>
      </c>
      <c r="B22" s="7">
        <v>41</v>
      </c>
    </row>
    <row r="23" spans="1:4" x14ac:dyDescent="0.25">
      <c r="A23" s="44" t="s">
        <v>5231</v>
      </c>
      <c r="B23" s="7">
        <v>1</v>
      </c>
    </row>
    <row r="24" spans="1:4" x14ac:dyDescent="0.25">
      <c r="A24" s="44" t="s">
        <v>5229</v>
      </c>
      <c r="B24" s="7">
        <v>3</v>
      </c>
    </row>
    <row r="25" spans="1:4" x14ac:dyDescent="0.25">
      <c r="A25" s="44" t="s">
        <v>115</v>
      </c>
      <c r="B25" s="7">
        <v>7</v>
      </c>
    </row>
    <row r="26" spans="1:4" x14ac:dyDescent="0.25">
      <c r="A26" s="44" t="s">
        <v>5225</v>
      </c>
      <c r="B26" s="7">
        <v>1</v>
      </c>
    </row>
    <row r="27" spans="1:4" x14ac:dyDescent="0.25">
      <c r="A27" s="44" t="s">
        <v>5235</v>
      </c>
      <c r="B27" s="7">
        <v>1</v>
      </c>
    </row>
    <row r="28" spans="1:4" x14ac:dyDescent="0.25">
      <c r="A28" s="44" t="s">
        <v>5233</v>
      </c>
      <c r="B28" s="7">
        <v>1</v>
      </c>
    </row>
    <row r="29" spans="1:4" x14ac:dyDescent="0.25">
      <c r="A29" s="44" t="s">
        <v>5230</v>
      </c>
      <c r="B29" s="7">
        <v>8</v>
      </c>
    </row>
    <row r="30" spans="1:4" x14ac:dyDescent="0.25">
      <c r="A30" s="44" t="s">
        <v>5237</v>
      </c>
      <c r="B30" s="7">
        <v>1</v>
      </c>
      <c r="D30" s="45">
        <f>SUM(B16:B30)</f>
        <v>99</v>
      </c>
    </row>
    <row r="31" spans="1:4" x14ac:dyDescent="0.25">
      <c r="A31" s="44" t="s">
        <v>5656</v>
      </c>
      <c r="B31" s="7">
        <v>549</v>
      </c>
    </row>
    <row r="32" spans="1:4" x14ac:dyDescent="0.25">
      <c r="A32" s="1" t="s">
        <v>5656</v>
      </c>
      <c r="B32" s="7"/>
    </row>
    <row r="33" spans="1:2" x14ac:dyDescent="0.25">
      <c r="A33" s="44" t="s">
        <v>5656</v>
      </c>
      <c r="B33" s="7"/>
    </row>
    <row r="34" spans="1:2" x14ac:dyDescent="0.25">
      <c r="A34" s="1" t="s">
        <v>5657</v>
      </c>
      <c r="B34" s="7">
        <v>771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15" sqref="M15"/>
    </sheetView>
  </sheetViews>
  <sheetFormatPr defaultRowHeight="15" x14ac:dyDescent="0.25"/>
  <cols>
    <col min="1" max="1" width="7.7109375" style="12" bestFit="1" customWidth="1"/>
    <col min="2" max="2" width="10.42578125" style="12" customWidth="1"/>
    <col min="3" max="3" width="20" style="12" customWidth="1"/>
    <col min="4" max="4" width="26.42578125" style="12" customWidth="1"/>
    <col min="5" max="5" width="14.28515625" style="12" bestFit="1" customWidth="1"/>
    <col min="6" max="6" width="12" style="12" bestFit="1" customWidth="1"/>
    <col min="7" max="7" width="5" style="12" bestFit="1" customWidth="1"/>
    <col min="8" max="8" width="33.140625" style="12" bestFit="1" customWidth="1"/>
    <col min="9" max="9" width="15.85546875" style="12" bestFit="1" customWidth="1"/>
    <col min="10" max="10" width="4.42578125" style="12" hidden="1" customWidth="1"/>
    <col min="11" max="11" width="31.5703125" style="12" hidden="1" customWidth="1"/>
    <col min="12" max="12" width="10.5703125" style="12" bestFit="1" customWidth="1"/>
    <col min="13" max="13" width="16.140625" style="12" customWidth="1"/>
    <col min="14" max="256" width="9.140625" style="12"/>
    <col min="257" max="257" width="7.7109375" style="12" bestFit="1" customWidth="1"/>
    <col min="258" max="258" width="10.42578125" style="12" customWidth="1"/>
    <col min="259" max="259" width="20" style="12" customWidth="1"/>
    <col min="260" max="260" width="26.42578125" style="12" customWidth="1"/>
    <col min="261" max="261" width="14.28515625" style="12" bestFit="1" customWidth="1"/>
    <col min="262" max="262" width="12" style="12" bestFit="1" customWidth="1"/>
    <col min="263" max="263" width="5" style="12" bestFit="1" customWidth="1"/>
    <col min="264" max="264" width="33.140625" style="12" bestFit="1" customWidth="1"/>
    <col min="265" max="265" width="15.85546875" style="12" bestFit="1" customWidth="1"/>
    <col min="266" max="267" width="0" style="12" hidden="1" customWidth="1"/>
    <col min="268" max="268" width="10.5703125" style="12" bestFit="1" customWidth="1"/>
    <col min="269" max="269" width="16.140625" style="12" customWidth="1"/>
    <col min="270" max="512" width="9.140625" style="12"/>
    <col min="513" max="513" width="7.7109375" style="12" bestFit="1" customWidth="1"/>
    <col min="514" max="514" width="10.42578125" style="12" customWidth="1"/>
    <col min="515" max="515" width="20" style="12" customWidth="1"/>
    <col min="516" max="516" width="26.42578125" style="12" customWidth="1"/>
    <col min="517" max="517" width="14.28515625" style="12" bestFit="1" customWidth="1"/>
    <col min="518" max="518" width="12" style="12" bestFit="1" customWidth="1"/>
    <col min="519" max="519" width="5" style="12" bestFit="1" customWidth="1"/>
    <col min="520" max="520" width="33.140625" style="12" bestFit="1" customWidth="1"/>
    <col min="521" max="521" width="15.85546875" style="12" bestFit="1" customWidth="1"/>
    <col min="522" max="523" width="0" style="12" hidden="1" customWidth="1"/>
    <col min="524" max="524" width="10.5703125" style="12" bestFit="1" customWidth="1"/>
    <col min="525" max="525" width="16.140625" style="12" customWidth="1"/>
    <col min="526" max="768" width="9.140625" style="12"/>
    <col min="769" max="769" width="7.7109375" style="12" bestFit="1" customWidth="1"/>
    <col min="770" max="770" width="10.42578125" style="12" customWidth="1"/>
    <col min="771" max="771" width="20" style="12" customWidth="1"/>
    <col min="772" max="772" width="26.42578125" style="12" customWidth="1"/>
    <col min="773" max="773" width="14.28515625" style="12" bestFit="1" customWidth="1"/>
    <col min="774" max="774" width="12" style="12" bestFit="1" customWidth="1"/>
    <col min="775" max="775" width="5" style="12" bestFit="1" customWidth="1"/>
    <col min="776" max="776" width="33.140625" style="12" bestFit="1" customWidth="1"/>
    <col min="777" max="777" width="15.85546875" style="12" bestFit="1" customWidth="1"/>
    <col min="778" max="779" width="0" style="12" hidden="1" customWidth="1"/>
    <col min="780" max="780" width="10.5703125" style="12" bestFit="1" customWidth="1"/>
    <col min="781" max="781" width="16.140625" style="12" customWidth="1"/>
    <col min="782" max="1024" width="9.140625" style="12"/>
    <col min="1025" max="1025" width="7.7109375" style="12" bestFit="1" customWidth="1"/>
    <col min="1026" max="1026" width="10.42578125" style="12" customWidth="1"/>
    <col min="1027" max="1027" width="20" style="12" customWidth="1"/>
    <col min="1028" max="1028" width="26.42578125" style="12" customWidth="1"/>
    <col min="1029" max="1029" width="14.28515625" style="12" bestFit="1" customWidth="1"/>
    <col min="1030" max="1030" width="12" style="12" bestFit="1" customWidth="1"/>
    <col min="1031" max="1031" width="5" style="12" bestFit="1" customWidth="1"/>
    <col min="1032" max="1032" width="33.140625" style="12" bestFit="1" customWidth="1"/>
    <col min="1033" max="1033" width="15.85546875" style="12" bestFit="1" customWidth="1"/>
    <col min="1034" max="1035" width="0" style="12" hidden="1" customWidth="1"/>
    <col min="1036" max="1036" width="10.5703125" style="12" bestFit="1" customWidth="1"/>
    <col min="1037" max="1037" width="16.140625" style="12" customWidth="1"/>
    <col min="1038" max="1280" width="9.140625" style="12"/>
    <col min="1281" max="1281" width="7.7109375" style="12" bestFit="1" customWidth="1"/>
    <col min="1282" max="1282" width="10.42578125" style="12" customWidth="1"/>
    <col min="1283" max="1283" width="20" style="12" customWidth="1"/>
    <col min="1284" max="1284" width="26.42578125" style="12" customWidth="1"/>
    <col min="1285" max="1285" width="14.28515625" style="12" bestFit="1" customWidth="1"/>
    <col min="1286" max="1286" width="12" style="12" bestFit="1" customWidth="1"/>
    <col min="1287" max="1287" width="5" style="12" bestFit="1" customWidth="1"/>
    <col min="1288" max="1288" width="33.140625" style="12" bestFit="1" customWidth="1"/>
    <col min="1289" max="1289" width="15.85546875" style="12" bestFit="1" customWidth="1"/>
    <col min="1290" max="1291" width="0" style="12" hidden="1" customWidth="1"/>
    <col min="1292" max="1292" width="10.5703125" style="12" bestFit="1" customWidth="1"/>
    <col min="1293" max="1293" width="16.140625" style="12" customWidth="1"/>
    <col min="1294" max="1536" width="9.140625" style="12"/>
    <col min="1537" max="1537" width="7.7109375" style="12" bestFit="1" customWidth="1"/>
    <col min="1538" max="1538" width="10.42578125" style="12" customWidth="1"/>
    <col min="1539" max="1539" width="20" style="12" customWidth="1"/>
    <col min="1540" max="1540" width="26.42578125" style="12" customWidth="1"/>
    <col min="1541" max="1541" width="14.28515625" style="12" bestFit="1" customWidth="1"/>
    <col min="1542" max="1542" width="12" style="12" bestFit="1" customWidth="1"/>
    <col min="1543" max="1543" width="5" style="12" bestFit="1" customWidth="1"/>
    <col min="1544" max="1544" width="33.140625" style="12" bestFit="1" customWidth="1"/>
    <col min="1545" max="1545" width="15.85546875" style="12" bestFit="1" customWidth="1"/>
    <col min="1546" max="1547" width="0" style="12" hidden="1" customWidth="1"/>
    <col min="1548" max="1548" width="10.5703125" style="12" bestFit="1" customWidth="1"/>
    <col min="1549" max="1549" width="16.140625" style="12" customWidth="1"/>
    <col min="1550" max="1792" width="9.140625" style="12"/>
    <col min="1793" max="1793" width="7.7109375" style="12" bestFit="1" customWidth="1"/>
    <col min="1794" max="1794" width="10.42578125" style="12" customWidth="1"/>
    <col min="1795" max="1795" width="20" style="12" customWidth="1"/>
    <col min="1796" max="1796" width="26.42578125" style="12" customWidth="1"/>
    <col min="1797" max="1797" width="14.28515625" style="12" bestFit="1" customWidth="1"/>
    <col min="1798" max="1798" width="12" style="12" bestFit="1" customWidth="1"/>
    <col min="1799" max="1799" width="5" style="12" bestFit="1" customWidth="1"/>
    <col min="1800" max="1800" width="33.140625" style="12" bestFit="1" customWidth="1"/>
    <col min="1801" max="1801" width="15.85546875" style="12" bestFit="1" customWidth="1"/>
    <col min="1802" max="1803" width="0" style="12" hidden="1" customWidth="1"/>
    <col min="1804" max="1804" width="10.5703125" style="12" bestFit="1" customWidth="1"/>
    <col min="1805" max="1805" width="16.140625" style="12" customWidth="1"/>
    <col min="1806" max="2048" width="9.140625" style="12"/>
    <col min="2049" max="2049" width="7.7109375" style="12" bestFit="1" customWidth="1"/>
    <col min="2050" max="2050" width="10.42578125" style="12" customWidth="1"/>
    <col min="2051" max="2051" width="20" style="12" customWidth="1"/>
    <col min="2052" max="2052" width="26.42578125" style="12" customWidth="1"/>
    <col min="2053" max="2053" width="14.28515625" style="12" bestFit="1" customWidth="1"/>
    <col min="2054" max="2054" width="12" style="12" bestFit="1" customWidth="1"/>
    <col min="2055" max="2055" width="5" style="12" bestFit="1" customWidth="1"/>
    <col min="2056" max="2056" width="33.140625" style="12" bestFit="1" customWidth="1"/>
    <col min="2057" max="2057" width="15.85546875" style="12" bestFit="1" customWidth="1"/>
    <col min="2058" max="2059" width="0" style="12" hidden="1" customWidth="1"/>
    <col min="2060" max="2060" width="10.5703125" style="12" bestFit="1" customWidth="1"/>
    <col min="2061" max="2061" width="16.140625" style="12" customWidth="1"/>
    <col min="2062" max="2304" width="9.140625" style="12"/>
    <col min="2305" max="2305" width="7.7109375" style="12" bestFit="1" customWidth="1"/>
    <col min="2306" max="2306" width="10.42578125" style="12" customWidth="1"/>
    <col min="2307" max="2307" width="20" style="12" customWidth="1"/>
    <col min="2308" max="2308" width="26.42578125" style="12" customWidth="1"/>
    <col min="2309" max="2309" width="14.28515625" style="12" bestFit="1" customWidth="1"/>
    <col min="2310" max="2310" width="12" style="12" bestFit="1" customWidth="1"/>
    <col min="2311" max="2311" width="5" style="12" bestFit="1" customWidth="1"/>
    <col min="2312" max="2312" width="33.140625" style="12" bestFit="1" customWidth="1"/>
    <col min="2313" max="2313" width="15.85546875" style="12" bestFit="1" customWidth="1"/>
    <col min="2314" max="2315" width="0" style="12" hidden="1" customWidth="1"/>
    <col min="2316" max="2316" width="10.5703125" style="12" bestFit="1" customWidth="1"/>
    <col min="2317" max="2317" width="16.140625" style="12" customWidth="1"/>
    <col min="2318" max="2560" width="9.140625" style="12"/>
    <col min="2561" max="2561" width="7.7109375" style="12" bestFit="1" customWidth="1"/>
    <col min="2562" max="2562" width="10.42578125" style="12" customWidth="1"/>
    <col min="2563" max="2563" width="20" style="12" customWidth="1"/>
    <col min="2564" max="2564" width="26.42578125" style="12" customWidth="1"/>
    <col min="2565" max="2565" width="14.28515625" style="12" bestFit="1" customWidth="1"/>
    <col min="2566" max="2566" width="12" style="12" bestFit="1" customWidth="1"/>
    <col min="2567" max="2567" width="5" style="12" bestFit="1" customWidth="1"/>
    <col min="2568" max="2568" width="33.140625" style="12" bestFit="1" customWidth="1"/>
    <col min="2569" max="2569" width="15.85546875" style="12" bestFit="1" customWidth="1"/>
    <col min="2570" max="2571" width="0" style="12" hidden="1" customWidth="1"/>
    <col min="2572" max="2572" width="10.5703125" style="12" bestFit="1" customWidth="1"/>
    <col min="2573" max="2573" width="16.140625" style="12" customWidth="1"/>
    <col min="2574" max="2816" width="9.140625" style="12"/>
    <col min="2817" max="2817" width="7.7109375" style="12" bestFit="1" customWidth="1"/>
    <col min="2818" max="2818" width="10.42578125" style="12" customWidth="1"/>
    <col min="2819" max="2819" width="20" style="12" customWidth="1"/>
    <col min="2820" max="2820" width="26.42578125" style="12" customWidth="1"/>
    <col min="2821" max="2821" width="14.28515625" style="12" bestFit="1" customWidth="1"/>
    <col min="2822" max="2822" width="12" style="12" bestFit="1" customWidth="1"/>
    <col min="2823" max="2823" width="5" style="12" bestFit="1" customWidth="1"/>
    <col min="2824" max="2824" width="33.140625" style="12" bestFit="1" customWidth="1"/>
    <col min="2825" max="2825" width="15.85546875" style="12" bestFit="1" customWidth="1"/>
    <col min="2826" max="2827" width="0" style="12" hidden="1" customWidth="1"/>
    <col min="2828" max="2828" width="10.5703125" style="12" bestFit="1" customWidth="1"/>
    <col min="2829" max="2829" width="16.140625" style="12" customWidth="1"/>
    <col min="2830" max="3072" width="9.140625" style="12"/>
    <col min="3073" max="3073" width="7.7109375" style="12" bestFit="1" customWidth="1"/>
    <col min="3074" max="3074" width="10.42578125" style="12" customWidth="1"/>
    <col min="3075" max="3075" width="20" style="12" customWidth="1"/>
    <col min="3076" max="3076" width="26.42578125" style="12" customWidth="1"/>
    <col min="3077" max="3077" width="14.28515625" style="12" bestFit="1" customWidth="1"/>
    <col min="3078" max="3078" width="12" style="12" bestFit="1" customWidth="1"/>
    <col min="3079" max="3079" width="5" style="12" bestFit="1" customWidth="1"/>
    <col min="3080" max="3080" width="33.140625" style="12" bestFit="1" customWidth="1"/>
    <col min="3081" max="3081" width="15.85546875" style="12" bestFit="1" customWidth="1"/>
    <col min="3082" max="3083" width="0" style="12" hidden="1" customWidth="1"/>
    <col min="3084" max="3084" width="10.5703125" style="12" bestFit="1" customWidth="1"/>
    <col min="3085" max="3085" width="16.140625" style="12" customWidth="1"/>
    <col min="3086" max="3328" width="9.140625" style="12"/>
    <col min="3329" max="3329" width="7.7109375" style="12" bestFit="1" customWidth="1"/>
    <col min="3330" max="3330" width="10.42578125" style="12" customWidth="1"/>
    <col min="3331" max="3331" width="20" style="12" customWidth="1"/>
    <col min="3332" max="3332" width="26.42578125" style="12" customWidth="1"/>
    <col min="3333" max="3333" width="14.28515625" style="12" bestFit="1" customWidth="1"/>
    <col min="3334" max="3334" width="12" style="12" bestFit="1" customWidth="1"/>
    <col min="3335" max="3335" width="5" style="12" bestFit="1" customWidth="1"/>
    <col min="3336" max="3336" width="33.140625" style="12" bestFit="1" customWidth="1"/>
    <col min="3337" max="3337" width="15.85546875" style="12" bestFit="1" customWidth="1"/>
    <col min="3338" max="3339" width="0" style="12" hidden="1" customWidth="1"/>
    <col min="3340" max="3340" width="10.5703125" style="12" bestFit="1" customWidth="1"/>
    <col min="3341" max="3341" width="16.140625" style="12" customWidth="1"/>
    <col min="3342" max="3584" width="9.140625" style="12"/>
    <col min="3585" max="3585" width="7.7109375" style="12" bestFit="1" customWidth="1"/>
    <col min="3586" max="3586" width="10.42578125" style="12" customWidth="1"/>
    <col min="3587" max="3587" width="20" style="12" customWidth="1"/>
    <col min="3588" max="3588" width="26.42578125" style="12" customWidth="1"/>
    <col min="3589" max="3589" width="14.28515625" style="12" bestFit="1" customWidth="1"/>
    <col min="3590" max="3590" width="12" style="12" bestFit="1" customWidth="1"/>
    <col min="3591" max="3591" width="5" style="12" bestFit="1" customWidth="1"/>
    <col min="3592" max="3592" width="33.140625" style="12" bestFit="1" customWidth="1"/>
    <col min="3593" max="3593" width="15.85546875" style="12" bestFit="1" customWidth="1"/>
    <col min="3594" max="3595" width="0" style="12" hidden="1" customWidth="1"/>
    <col min="3596" max="3596" width="10.5703125" style="12" bestFit="1" customWidth="1"/>
    <col min="3597" max="3597" width="16.140625" style="12" customWidth="1"/>
    <col min="3598" max="3840" width="9.140625" style="12"/>
    <col min="3841" max="3841" width="7.7109375" style="12" bestFit="1" customWidth="1"/>
    <col min="3842" max="3842" width="10.42578125" style="12" customWidth="1"/>
    <col min="3843" max="3843" width="20" style="12" customWidth="1"/>
    <col min="3844" max="3844" width="26.42578125" style="12" customWidth="1"/>
    <col min="3845" max="3845" width="14.28515625" style="12" bestFit="1" customWidth="1"/>
    <col min="3846" max="3846" width="12" style="12" bestFit="1" customWidth="1"/>
    <col min="3847" max="3847" width="5" style="12" bestFit="1" customWidth="1"/>
    <col min="3848" max="3848" width="33.140625" style="12" bestFit="1" customWidth="1"/>
    <col min="3849" max="3849" width="15.85546875" style="12" bestFit="1" customWidth="1"/>
    <col min="3850" max="3851" width="0" style="12" hidden="1" customWidth="1"/>
    <col min="3852" max="3852" width="10.5703125" style="12" bestFit="1" customWidth="1"/>
    <col min="3853" max="3853" width="16.140625" style="12" customWidth="1"/>
    <col min="3854" max="4096" width="9.140625" style="12"/>
    <col min="4097" max="4097" width="7.7109375" style="12" bestFit="1" customWidth="1"/>
    <col min="4098" max="4098" width="10.42578125" style="12" customWidth="1"/>
    <col min="4099" max="4099" width="20" style="12" customWidth="1"/>
    <col min="4100" max="4100" width="26.42578125" style="12" customWidth="1"/>
    <col min="4101" max="4101" width="14.28515625" style="12" bestFit="1" customWidth="1"/>
    <col min="4102" max="4102" width="12" style="12" bestFit="1" customWidth="1"/>
    <col min="4103" max="4103" width="5" style="12" bestFit="1" customWidth="1"/>
    <col min="4104" max="4104" width="33.140625" style="12" bestFit="1" customWidth="1"/>
    <col min="4105" max="4105" width="15.85546875" style="12" bestFit="1" customWidth="1"/>
    <col min="4106" max="4107" width="0" style="12" hidden="1" customWidth="1"/>
    <col min="4108" max="4108" width="10.5703125" style="12" bestFit="1" customWidth="1"/>
    <col min="4109" max="4109" width="16.140625" style="12" customWidth="1"/>
    <col min="4110" max="4352" width="9.140625" style="12"/>
    <col min="4353" max="4353" width="7.7109375" style="12" bestFit="1" customWidth="1"/>
    <col min="4354" max="4354" width="10.42578125" style="12" customWidth="1"/>
    <col min="4355" max="4355" width="20" style="12" customWidth="1"/>
    <col min="4356" max="4356" width="26.42578125" style="12" customWidth="1"/>
    <col min="4357" max="4357" width="14.28515625" style="12" bestFit="1" customWidth="1"/>
    <col min="4358" max="4358" width="12" style="12" bestFit="1" customWidth="1"/>
    <col min="4359" max="4359" width="5" style="12" bestFit="1" customWidth="1"/>
    <col min="4360" max="4360" width="33.140625" style="12" bestFit="1" customWidth="1"/>
    <col min="4361" max="4361" width="15.85546875" style="12" bestFit="1" customWidth="1"/>
    <col min="4362" max="4363" width="0" style="12" hidden="1" customWidth="1"/>
    <col min="4364" max="4364" width="10.5703125" style="12" bestFit="1" customWidth="1"/>
    <col min="4365" max="4365" width="16.140625" style="12" customWidth="1"/>
    <col min="4366" max="4608" width="9.140625" style="12"/>
    <col min="4609" max="4609" width="7.7109375" style="12" bestFit="1" customWidth="1"/>
    <col min="4610" max="4610" width="10.42578125" style="12" customWidth="1"/>
    <col min="4611" max="4611" width="20" style="12" customWidth="1"/>
    <col min="4612" max="4612" width="26.42578125" style="12" customWidth="1"/>
    <col min="4613" max="4613" width="14.28515625" style="12" bestFit="1" customWidth="1"/>
    <col min="4614" max="4614" width="12" style="12" bestFit="1" customWidth="1"/>
    <col min="4615" max="4615" width="5" style="12" bestFit="1" customWidth="1"/>
    <col min="4616" max="4616" width="33.140625" style="12" bestFit="1" customWidth="1"/>
    <col min="4617" max="4617" width="15.85546875" style="12" bestFit="1" customWidth="1"/>
    <col min="4618" max="4619" width="0" style="12" hidden="1" customWidth="1"/>
    <col min="4620" max="4620" width="10.5703125" style="12" bestFit="1" customWidth="1"/>
    <col min="4621" max="4621" width="16.140625" style="12" customWidth="1"/>
    <col min="4622" max="4864" width="9.140625" style="12"/>
    <col min="4865" max="4865" width="7.7109375" style="12" bestFit="1" customWidth="1"/>
    <col min="4866" max="4866" width="10.42578125" style="12" customWidth="1"/>
    <col min="4867" max="4867" width="20" style="12" customWidth="1"/>
    <col min="4868" max="4868" width="26.42578125" style="12" customWidth="1"/>
    <col min="4869" max="4869" width="14.28515625" style="12" bestFit="1" customWidth="1"/>
    <col min="4870" max="4870" width="12" style="12" bestFit="1" customWidth="1"/>
    <col min="4871" max="4871" width="5" style="12" bestFit="1" customWidth="1"/>
    <col min="4872" max="4872" width="33.140625" style="12" bestFit="1" customWidth="1"/>
    <col min="4873" max="4873" width="15.85546875" style="12" bestFit="1" customWidth="1"/>
    <col min="4874" max="4875" width="0" style="12" hidden="1" customWidth="1"/>
    <col min="4876" max="4876" width="10.5703125" style="12" bestFit="1" customWidth="1"/>
    <col min="4877" max="4877" width="16.140625" style="12" customWidth="1"/>
    <col min="4878" max="5120" width="9.140625" style="12"/>
    <col min="5121" max="5121" width="7.7109375" style="12" bestFit="1" customWidth="1"/>
    <col min="5122" max="5122" width="10.42578125" style="12" customWidth="1"/>
    <col min="5123" max="5123" width="20" style="12" customWidth="1"/>
    <col min="5124" max="5124" width="26.42578125" style="12" customWidth="1"/>
    <col min="5125" max="5125" width="14.28515625" style="12" bestFit="1" customWidth="1"/>
    <col min="5126" max="5126" width="12" style="12" bestFit="1" customWidth="1"/>
    <col min="5127" max="5127" width="5" style="12" bestFit="1" customWidth="1"/>
    <col min="5128" max="5128" width="33.140625" style="12" bestFit="1" customWidth="1"/>
    <col min="5129" max="5129" width="15.85546875" style="12" bestFit="1" customWidth="1"/>
    <col min="5130" max="5131" width="0" style="12" hidden="1" customWidth="1"/>
    <col min="5132" max="5132" width="10.5703125" style="12" bestFit="1" customWidth="1"/>
    <col min="5133" max="5133" width="16.140625" style="12" customWidth="1"/>
    <col min="5134" max="5376" width="9.140625" style="12"/>
    <col min="5377" max="5377" width="7.7109375" style="12" bestFit="1" customWidth="1"/>
    <col min="5378" max="5378" width="10.42578125" style="12" customWidth="1"/>
    <col min="5379" max="5379" width="20" style="12" customWidth="1"/>
    <col min="5380" max="5380" width="26.42578125" style="12" customWidth="1"/>
    <col min="5381" max="5381" width="14.28515625" style="12" bestFit="1" customWidth="1"/>
    <col min="5382" max="5382" width="12" style="12" bestFit="1" customWidth="1"/>
    <col min="5383" max="5383" width="5" style="12" bestFit="1" customWidth="1"/>
    <col min="5384" max="5384" width="33.140625" style="12" bestFit="1" customWidth="1"/>
    <col min="5385" max="5385" width="15.85546875" style="12" bestFit="1" customWidth="1"/>
    <col min="5386" max="5387" width="0" style="12" hidden="1" customWidth="1"/>
    <col min="5388" max="5388" width="10.5703125" style="12" bestFit="1" customWidth="1"/>
    <col min="5389" max="5389" width="16.140625" style="12" customWidth="1"/>
    <col min="5390" max="5632" width="9.140625" style="12"/>
    <col min="5633" max="5633" width="7.7109375" style="12" bestFit="1" customWidth="1"/>
    <col min="5634" max="5634" width="10.42578125" style="12" customWidth="1"/>
    <col min="5635" max="5635" width="20" style="12" customWidth="1"/>
    <col min="5636" max="5636" width="26.42578125" style="12" customWidth="1"/>
    <col min="5637" max="5637" width="14.28515625" style="12" bestFit="1" customWidth="1"/>
    <col min="5638" max="5638" width="12" style="12" bestFit="1" customWidth="1"/>
    <col min="5639" max="5639" width="5" style="12" bestFit="1" customWidth="1"/>
    <col min="5640" max="5640" width="33.140625" style="12" bestFit="1" customWidth="1"/>
    <col min="5641" max="5641" width="15.85546875" style="12" bestFit="1" customWidth="1"/>
    <col min="5642" max="5643" width="0" style="12" hidden="1" customWidth="1"/>
    <col min="5644" max="5644" width="10.5703125" style="12" bestFit="1" customWidth="1"/>
    <col min="5645" max="5645" width="16.140625" style="12" customWidth="1"/>
    <col min="5646" max="5888" width="9.140625" style="12"/>
    <col min="5889" max="5889" width="7.7109375" style="12" bestFit="1" customWidth="1"/>
    <col min="5890" max="5890" width="10.42578125" style="12" customWidth="1"/>
    <col min="5891" max="5891" width="20" style="12" customWidth="1"/>
    <col min="5892" max="5892" width="26.42578125" style="12" customWidth="1"/>
    <col min="5893" max="5893" width="14.28515625" style="12" bestFit="1" customWidth="1"/>
    <col min="5894" max="5894" width="12" style="12" bestFit="1" customWidth="1"/>
    <col min="5895" max="5895" width="5" style="12" bestFit="1" customWidth="1"/>
    <col min="5896" max="5896" width="33.140625" style="12" bestFit="1" customWidth="1"/>
    <col min="5897" max="5897" width="15.85546875" style="12" bestFit="1" customWidth="1"/>
    <col min="5898" max="5899" width="0" style="12" hidden="1" customWidth="1"/>
    <col min="5900" max="5900" width="10.5703125" style="12" bestFit="1" customWidth="1"/>
    <col min="5901" max="5901" width="16.140625" style="12" customWidth="1"/>
    <col min="5902" max="6144" width="9.140625" style="12"/>
    <col min="6145" max="6145" width="7.7109375" style="12" bestFit="1" customWidth="1"/>
    <col min="6146" max="6146" width="10.42578125" style="12" customWidth="1"/>
    <col min="6147" max="6147" width="20" style="12" customWidth="1"/>
    <col min="6148" max="6148" width="26.42578125" style="12" customWidth="1"/>
    <col min="6149" max="6149" width="14.28515625" style="12" bestFit="1" customWidth="1"/>
    <col min="6150" max="6150" width="12" style="12" bestFit="1" customWidth="1"/>
    <col min="6151" max="6151" width="5" style="12" bestFit="1" customWidth="1"/>
    <col min="6152" max="6152" width="33.140625" style="12" bestFit="1" customWidth="1"/>
    <col min="6153" max="6153" width="15.85546875" style="12" bestFit="1" customWidth="1"/>
    <col min="6154" max="6155" width="0" style="12" hidden="1" customWidth="1"/>
    <col min="6156" max="6156" width="10.5703125" style="12" bestFit="1" customWidth="1"/>
    <col min="6157" max="6157" width="16.140625" style="12" customWidth="1"/>
    <col min="6158" max="6400" width="9.140625" style="12"/>
    <col min="6401" max="6401" width="7.7109375" style="12" bestFit="1" customWidth="1"/>
    <col min="6402" max="6402" width="10.42578125" style="12" customWidth="1"/>
    <col min="6403" max="6403" width="20" style="12" customWidth="1"/>
    <col min="6404" max="6404" width="26.42578125" style="12" customWidth="1"/>
    <col min="6405" max="6405" width="14.28515625" style="12" bestFit="1" customWidth="1"/>
    <col min="6406" max="6406" width="12" style="12" bestFit="1" customWidth="1"/>
    <col min="6407" max="6407" width="5" style="12" bestFit="1" customWidth="1"/>
    <col min="6408" max="6408" width="33.140625" style="12" bestFit="1" customWidth="1"/>
    <col min="6409" max="6409" width="15.85546875" style="12" bestFit="1" customWidth="1"/>
    <col min="6410" max="6411" width="0" style="12" hidden="1" customWidth="1"/>
    <col min="6412" max="6412" width="10.5703125" style="12" bestFit="1" customWidth="1"/>
    <col min="6413" max="6413" width="16.140625" style="12" customWidth="1"/>
    <col min="6414" max="6656" width="9.140625" style="12"/>
    <col min="6657" max="6657" width="7.7109375" style="12" bestFit="1" customWidth="1"/>
    <col min="6658" max="6658" width="10.42578125" style="12" customWidth="1"/>
    <col min="6659" max="6659" width="20" style="12" customWidth="1"/>
    <col min="6660" max="6660" width="26.42578125" style="12" customWidth="1"/>
    <col min="6661" max="6661" width="14.28515625" style="12" bestFit="1" customWidth="1"/>
    <col min="6662" max="6662" width="12" style="12" bestFit="1" customWidth="1"/>
    <col min="6663" max="6663" width="5" style="12" bestFit="1" customWidth="1"/>
    <col min="6664" max="6664" width="33.140625" style="12" bestFit="1" customWidth="1"/>
    <col min="6665" max="6665" width="15.85546875" style="12" bestFit="1" customWidth="1"/>
    <col min="6666" max="6667" width="0" style="12" hidden="1" customWidth="1"/>
    <col min="6668" max="6668" width="10.5703125" style="12" bestFit="1" customWidth="1"/>
    <col min="6669" max="6669" width="16.140625" style="12" customWidth="1"/>
    <col min="6670" max="6912" width="9.140625" style="12"/>
    <col min="6913" max="6913" width="7.7109375" style="12" bestFit="1" customWidth="1"/>
    <col min="6914" max="6914" width="10.42578125" style="12" customWidth="1"/>
    <col min="6915" max="6915" width="20" style="12" customWidth="1"/>
    <col min="6916" max="6916" width="26.42578125" style="12" customWidth="1"/>
    <col min="6917" max="6917" width="14.28515625" style="12" bestFit="1" customWidth="1"/>
    <col min="6918" max="6918" width="12" style="12" bestFit="1" customWidth="1"/>
    <col min="6919" max="6919" width="5" style="12" bestFit="1" customWidth="1"/>
    <col min="6920" max="6920" width="33.140625" style="12" bestFit="1" customWidth="1"/>
    <col min="6921" max="6921" width="15.85546875" style="12" bestFit="1" customWidth="1"/>
    <col min="6922" max="6923" width="0" style="12" hidden="1" customWidth="1"/>
    <col min="6924" max="6924" width="10.5703125" style="12" bestFit="1" customWidth="1"/>
    <col min="6925" max="6925" width="16.140625" style="12" customWidth="1"/>
    <col min="6926" max="7168" width="9.140625" style="12"/>
    <col min="7169" max="7169" width="7.7109375" style="12" bestFit="1" customWidth="1"/>
    <col min="7170" max="7170" width="10.42578125" style="12" customWidth="1"/>
    <col min="7171" max="7171" width="20" style="12" customWidth="1"/>
    <col min="7172" max="7172" width="26.42578125" style="12" customWidth="1"/>
    <col min="7173" max="7173" width="14.28515625" style="12" bestFit="1" customWidth="1"/>
    <col min="7174" max="7174" width="12" style="12" bestFit="1" customWidth="1"/>
    <col min="7175" max="7175" width="5" style="12" bestFit="1" customWidth="1"/>
    <col min="7176" max="7176" width="33.140625" style="12" bestFit="1" customWidth="1"/>
    <col min="7177" max="7177" width="15.85546875" style="12" bestFit="1" customWidth="1"/>
    <col min="7178" max="7179" width="0" style="12" hidden="1" customWidth="1"/>
    <col min="7180" max="7180" width="10.5703125" style="12" bestFit="1" customWidth="1"/>
    <col min="7181" max="7181" width="16.140625" style="12" customWidth="1"/>
    <col min="7182" max="7424" width="9.140625" style="12"/>
    <col min="7425" max="7425" width="7.7109375" style="12" bestFit="1" customWidth="1"/>
    <col min="7426" max="7426" width="10.42578125" style="12" customWidth="1"/>
    <col min="7427" max="7427" width="20" style="12" customWidth="1"/>
    <col min="7428" max="7428" width="26.42578125" style="12" customWidth="1"/>
    <col min="7429" max="7429" width="14.28515625" style="12" bestFit="1" customWidth="1"/>
    <col min="7430" max="7430" width="12" style="12" bestFit="1" customWidth="1"/>
    <col min="7431" max="7431" width="5" style="12" bestFit="1" customWidth="1"/>
    <col min="7432" max="7432" width="33.140625" style="12" bestFit="1" customWidth="1"/>
    <col min="7433" max="7433" width="15.85546875" style="12" bestFit="1" customWidth="1"/>
    <col min="7434" max="7435" width="0" style="12" hidden="1" customWidth="1"/>
    <col min="7436" max="7436" width="10.5703125" style="12" bestFit="1" customWidth="1"/>
    <col min="7437" max="7437" width="16.140625" style="12" customWidth="1"/>
    <col min="7438" max="7680" width="9.140625" style="12"/>
    <col min="7681" max="7681" width="7.7109375" style="12" bestFit="1" customWidth="1"/>
    <col min="7682" max="7682" width="10.42578125" style="12" customWidth="1"/>
    <col min="7683" max="7683" width="20" style="12" customWidth="1"/>
    <col min="7684" max="7684" width="26.42578125" style="12" customWidth="1"/>
    <col min="7685" max="7685" width="14.28515625" style="12" bestFit="1" customWidth="1"/>
    <col min="7686" max="7686" width="12" style="12" bestFit="1" customWidth="1"/>
    <col min="7687" max="7687" width="5" style="12" bestFit="1" customWidth="1"/>
    <col min="7688" max="7688" width="33.140625" style="12" bestFit="1" customWidth="1"/>
    <col min="7689" max="7689" width="15.85546875" style="12" bestFit="1" customWidth="1"/>
    <col min="7690" max="7691" width="0" style="12" hidden="1" customWidth="1"/>
    <col min="7692" max="7692" width="10.5703125" style="12" bestFit="1" customWidth="1"/>
    <col min="7693" max="7693" width="16.140625" style="12" customWidth="1"/>
    <col min="7694" max="7936" width="9.140625" style="12"/>
    <col min="7937" max="7937" width="7.7109375" style="12" bestFit="1" customWidth="1"/>
    <col min="7938" max="7938" width="10.42578125" style="12" customWidth="1"/>
    <col min="7939" max="7939" width="20" style="12" customWidth="1"/>
    <col min="7940" max="7940" width="26.42578125" style="12" customWidth="1"/>
    <col min="7941" max="7941" width="14.28515625" style="12" bestFit="1" customWidth="1"/>
    <col min="7942" max="7942" width="12" style="12" bestFit="1" customWidth="1"/>
    <col min="7943" max="7943" width="5" style="12" bestFit="1" customWidth="1"/>
    <col min="7944" max="7944" width="33.140625" style="12" bestFit="1" customWidth="1"/>
    <col min="7945" max="7945" width="15.85546875" style="12" bestFit="1" customWidth="1"/>
    <col min="7946" max="7947" width="0" style="12" hidden="1" customWidth="1"/>
    <col min="7948" max="7948" width="10.5703125" style="12" bestFit="1" customWidth="1"/>
    <col min="7949" max="7949" width="16.140625" style="12" customWidth="1"/>
    <col min="7950" max="8192" width="9.140625" style="12"/>
    <col min="8193" max="8193" width="7.7109375" style="12" bestFit="1" customWidth="1"/>
    <col min="8194" max="8194" width="10.42578125" style="12" customWidth="1"/>
    <col min="8195" max="8195" width="20" style="12" customWidth="1"/>
    <col min="8196" max="8196" width="26.42578125" style="12" customWidth="1"/>
    <col min="8197" max="8197" width="14.28515625" style="12" bestFit="1" customWidth="1"/>
    <col min="8198" max="8198" width="12" style="12" bestFit="1" customWidth="1"/>
    <col min="8199" max="8199" width="5" style="12" bestFit="1" customWidth="1"/>
    <col min="8200" max="8200" width="33.140625" style="12" bestFit="1" customWidth="1"/>
    <col min="8201" max="8201" width="15.85546875" style="12" bestFit="1" customWidth="1"/>
    <col min="8202" max="8203" width="0" style="12" hidden="1" customWidth="1"/>
    <col min="8204" max="8204" width="10.5703125" style="12" bestFit="1" customWidth="1"/>
    <col min="8205" max="8205" width="16.140625" style="12" customWidth="1"/>
    <col min="8206" max="8448" width="9.140625" style="12"/>
    <col min="8449" max="8449" width="7.7109375" style="12" bestFit="1" customWidth="1"/>
    <col min="8450" max="8450" width="10.42578125" style="12" customWidth="1"/>
    <col min="8451" max="8451" width="20" style="12" customWidth="1"/>
    <col min="8452" max="8452" width="26.42578125" style="12" customWidth="1"/>
    <col min="8453" max="8453" width="14.28515625" style="12" bestFit="1" customWidth="1"/>
    <col min="8454" max="8454" width="12" style="12" bestFit="1" customWidth="1"/>
    <col min="8455" max="8455" width="5" style="12" bestFit="1" customWidth="1"/>
    <col min="8456" max="8456" width="33.140625" style="12" bestFit="1" customWidth="1"/>
    <col min="8457" max="8457" width="15.85546875" style="12" bestFit="1" customWidth="1"/>
    <col min="8458" max="8459" width="0" style="12" hidden="1" customWidth="1"/>
    <col min="8460" max="8460" width="10.5703125" style="12" bestFit="1" customWidth="1"/>
    <col min="8461" max="8461" width="16.140625" style="12" customWidth="1"/>
    <col min="8462" max="8704" width="9.140625" style="12"/>
    <col min="8705" max="8705" width="7.7109375" style="12" bestFit="1" customWidth="1"/>
    <col min="8706" max="8706" width="10.42578125" style="12" customWidth="1"/>
    <col min="8707" max="8707" width="20" style="12" customWidth="1"/>
    <col min="8708" max="8708" width="26.42578125" style="12" customWidth="1"/>
    <col min="8709" max="8709" width="14.28515625" style="12" bestFit="1" customWidth="1"/>
    <col min="8710" max="8710" width="12" style="12" bestFit="1" customWidth="1"/>
    <col min="8711" max="8711" width="5" style="12" bestFit="1" customWidth="1"/>
    <col min="8712" max="8712" width="33.140625" style="12" bestFit="1" customWidth="1"/>
    <col min="8713" max="8713" width="15.85546875" style="12" bestFit="1" customWidth="1"/>
    <col min="8714" max="8715" width="0" style="12" hidden="1" customWidth="1"/>
    <col min="8716" max="8716" width="10.5703125" style="12" bestFit="1" customWidth="1"/>
    <col min="8717" max="8717" width="16.140625" style="12" customWidth="1"/>
    <col min="8718" max="8960" width="9.140625" style="12"/>
    <col min="8961" max="8961" width="7.7109375" style="12" bestFit="1" customWidth="1"/>
    <col min="8962" max="8962" width="10.42578125" style="12" customWidth="1"/>
    <col min="8963" max="8963" width="20" style="12" customWidth="1"/>
    <col min="8964" max="8964" width="26.42578125" style="12" customWidth="1"/>
    <col min="8965" max="8965" width="14.28515625" style="12" bestFit="1" customWidth="1"/>
    <col min="8966" max="8966" width="12" style="12" bestFit="1" customWidth="1"/>
    <col min="8967" max="8967" width="5" style="12" bestFit="1" customWidth="1"/>
    <col min="8968" max="8968" width="33.140625" style="12" bestFit="1" customWidth="1"/>
    <col min="8969" max="8969" width="15.85546875" style="12" bestFit="1" customWidth="1"/>
    <col min="8970" max="8971" width="0" style="12" hidden="1" customWidth="1"/>
    <col min="8972" max="8972" width="10.5703125" style="12" bestFit="1" customWidth="1"/>
    <col min="8973" max="8973" width="16.140625" style="12" customWidth="1"/>
    <col min="8974" max="9216" width="9.140625" style="12"/>
    <col min="9217" max="9217" width="7.7109375" style="12" bestFit="1" customWidth="1"/>
    <col min="9218" max="9218" width="10.42578125" style="12" customWidth="1"/>
    <col min="9219" max="9219" width="20" style="12" customWidth="1"/>
    <col min="9220" max="9220" width="26.42578125" style="12" customWidth="1"/>
    <col min="9221" max="9221" width="14.28515625" style="12" bestFit="1" customWidth="1"/>
    <col min="9222" max="9222" width="12" style="12" bestFit="1" customWidth="1"/>
    <col min="9223" max="9223" width="5" style="12" bestFit="1" customWidth="1"/>
    <col min="9224" max="9224" width="33.140625" style="12" bestFit="1" customWidth="1"/>
    <col min="9225" max="9225" width="15.85546875" style="12" bestFit="1" customWidth="1"/>
    <col min="9226" max="9227" width="0" style="12" hidden="1" customWidth="1"/>
    <col min="9228" max="9228" width="10.5703125" style="12" bestFit="1" customWidth="1"/>
    <col min="9229" max="9229" width="16.140625" style="12" customWidth="1"/>
    <col min="9230" max="9472" width="9.140625" style="12"/>
    <col min="9473" max="9473" width="7.7109375" style="12" bestFit="1" customWidth="1"/>
    <col min="9474" max="9474" width="10.42578125" style="12" customWidth="1"/>
    <col min="9475" max="9475" width="20" style="12" customWidth="1"/>
    <col min="9476" max="9476" width="26.42578125" style="12" customWidth="1"/>
    <col min="9477" max="9477" width="14.28515625" style="12" bestFit="1" customWidth="1"/>
    <col min="9478" max="9478" width="12" style="12" bestFit="1" customWidth="1"/>
    <col min="9479" max="9479" width="5" style="12" bestFit="1" customWidth="1"/>
    <col min="9480" max="9480" width="33.140625" style="12" bestFit="1" customWidth="1"/>
    <col min="9481" max="9481" width="15.85546875" style="12" bestFit="1" customWidth="1"/>
    <col min="9482" max="9483" width="0" style="12" hidden="1" customWidth="1"/>
    <col min="9484" max="9484" width="10.5703125" style="12" bestFit="1" customWidth="1"/>
    <col min="9485" max="9485" width="16.140625" style="12" customWidth="1"/>
    <col min="9486" max="9728" width="9.140625" style="12"/>
    <col min="9729" max="9729" width="7.7109375" style="12" bestFit="1" customWidth="1"/>
    <col min="9730" max="9730" width="10.42578125" style="12" customWidth="1"/>
    <col min="9731" max="9731" width="20" style="12" customWidth="1"/>
    <col min="9732" max="9732" width="26.42578125" style="12" customWidth="1"/>
    <col min="9733" max="9733" width="14.28515625" style="12" bestFit="1" customWidth="1"/>
    <col min="9734" max="9734" width="12" style="12" bestFit="1" customWidth="1"/>
    <col min="9735" max="9735" width="5" style="12" bestFit="1" customWidth="1"/>
    <col min="9736" max="9736" width="33.140625" style="12" bestFit="1" customWidth="1"/>
    <col min="9737" max="9737" width="15.85546875" style="12" bestFit="1" customWidth="1"/>
    <col min="9738" max="9739" width="0" style="12" hidden="1" customWidth="1"/>
    <col min="9740" max="9740" width="10.5703125" style="12" bestFit="1" customWidth="1"/>
    <col min="9741" max="9741" width="16.140625" style="12" customWidth="1"/>
    <col min="9742" max="9984" width="9.140625" style="12"/>
    <col min="9985" max="9985" width="7.7109375" style="12" bestFit="1" customWidth="1"/>
    <col min="9986" max="9986" width="10.42578125" style="12" customWidth="1"/>
    <col min="9987" max="9987" width="20" style="12" customWidth="1"/>
    <col min="9988" max="9988" width="26.42578125" style="12" customWidth="1"/>
    <col min="9989" max="9989" width="14.28515625" style="12" bestFit="1" customWidth="1"/>
    <col min="9990" max="9990" width="12" style="12" bestFit="1" customWidth="1"/>
    <col min="9991" max="9991" width="5" style="12" bestFit="1" customWidth="1"/>
    <col min="9992" max="9992" width="33.140625" style="12" bestFit="1" customWidth="1"/>
    <col min="9993" max="9993" width="15.85546875" style="12" bestFit="1" customWidth="1"/>
    <col min="9994" max="9995" width="0" style="12" hidden="1" customWidth="1"/>
    <col min="9996" max="9996" width="10.5703125" style="12" bestFit="1" customWidth="1"/>
    <col min="9997" max="9997" width="16.140625" style="12" customWidth="1"/>
    <col min="9998" max="10240" width="9.140625" style="12"/>
    <col min="10241" max="10241" width="7.7109375" style="12" bestFit="1" customWidth="1"/>
    <col min="10242" max="10242" width="10.42578125" style="12" customWidth="1"/>
    <col min="10243" max="10243" width="20" style="12" customWidth="1"/>
    <col min="10244" max="10244" width="26.42578125" style="12" customWidth="1"/>
    <col min="10245" max="10245" width="14.28515625" style="12" bestFit="1" customWidth="1"/>
    <col min="10246" max="10246" width="12" style="12" bestFit="1" customWidth="1"/>
    <col min="10247" max="10247" width="5" style="12" bestFit="1" customWidth="1"/>
    <col min="10248" max="10248" width="33.140625" style="12" bestFit="1" customWidth="1"/>
    <col min="10249" max="10249" width="15.85546875" style="12" bestFit="1" customWidth="1"/>
    <col min="10250" max="10251" width="0" style="12" hidden="1" customWidth="1"/>
    <col min="10252" max="10252" width="10.5703125" style="12" bestFit="1" customWidth="1"/>
    <col min="10253" max="10253" width="16.140625" style="12" customWidth="1"/>
    <col min="10254" max="10496" width="9.140625" style="12"/>
    <col min="10497" max="10497" width="7.7109375" style="12" bestFit="1" customWidth="1"/>
    <col min="10498" max="10498" width="10.42578125" style="12" customWidth="1"/>
    <col min="10499" max="10499" width="20" style="12" customWidth="1"/>
    <col min="10500" max="10500" width="26.42578125" style="12" customWidth="1"/>
    <col min="10501" max="10501" width="14.28515625" style="12" bestFit="1" customWidth="1"/>
    <col min="10502" max="10502" width="12" style="12" bestFit="1" customWidth="1"/>
    <col min="10503" max="10503" width="5" style="12" bestFit="1" customWidth="1"/>
    <col min="10504" max="10504" width="33.140625" style="12" bestFit="1" customWidth="1"/>
    <col min="10505" max="10505" width="15.85546875" style="12" bestFit="1" customWidth="1"/>
    <col min="10506" max="10507" width="0" style="12" hidden="1" customWidth="1"/>
    <col min="10508" max="10508" width="10.5703125" style="12" bestFit="1" customWidth="1"/>
    <col min="10509" max="10509" width="16.140625" style="12" customWidth="1"/>
    <col min="10510" max="10752" width="9.140625" style="12"/>
    <col min="10753" max="10753" width="7.7109375" style="12" bestFit="1" customWidth="1"/>
    <col min="10754" max="10754" width="10.42578125" style="12" customWidth="1"/>
    <col min="10755" max="10755" width="20" style="12" customWidth="1"/>
    <col min="10756" max="10756" width="26.42578125" style="12" customWidth="1"/>
    <col min="10757" max="10757" width="14.28515625" style="12" bestFit="1" customWidth="1"/>
    <col min="10758" max="10758" width="12" style="12" bestFit="1" customWidth="1"/>
    <col min="10759" max="10759" width="5" style="12" bestFit="1" customWidth="1"/>
    <col min="10760" max="10760" width="33.140625" style="12" bestFit="1" customWidth="1"/>
    <col min="10761" max="10761" width="15.85546875" style="12" bestFit="1" customWidth="1"/>
    <col min="10762" max="10763" width="0" style="12" hidden="1" customWidth="1"/>
    <col min="10764" max="10764" width="10.5703125" style="12" bestFit="1" customWidth="1"/>
    <col min="10765" max="10765" width="16.140625" style="12" customWidth="1"/>
    <col min="10766" max="11008" width="9.140625" style="12"/>
    <col min="11009" max="11009" width="7.7109375" style="12" bestFit="1" customWidth="1"/>
    <col min="11010" max="11010" width="10.42578125" style="12" customWidth="1"/>
    <col min="11011" max="11011" width="20" style="12" customWidth="1"/>
    <col min="11012" max="11012" width="26.42578125" style="12" customWidth="1"/>
    <col min="11013" max="11013" width="14.28515625" style="12" bestFit="1" customWidth="1"/>
    <col min="11014" max="11014" width="12" style="12" bestFit="1" customWidth="1"/>
    <col min="11015" max="11015" width="5" style="12" bestFit="1" customWidth="1"/>
    <col min="11016" max="11016" width="33.140625" style="12" bestFit="1" customWidth="1"/>
    <col min="11017" max="11017" width="15.85546875" style="12" bestFit="1" customWidth="1"/>
    <col min="11018" max="11019" width="0" style="12" hidden="1" customWidth="1"/>
    <col min="11020" max="11020" width="10.5703125" style="12" bestFit="1" customWidth="1"/>
    <col min="11021" max="11021" width="16.140625" style="12" customWidth="1"/>
    <col min="11022" max="11264" width="9.140625" style="12"/>
    <col min="11265" max="11265" width="7.7109375" style="12" bestFit="1" customWidth="1"/>
    <col min="11266" max="11266" width="10.42578125" style="12" customWidth="1"/>
    <col min="11267" max="11267" width="20" style="12" customWidth="1"/>
    <col min="11268" max="11268" width="26.42578125" style="12" customWidth="1"/>
    <col min="11269" max="11269" width="14.28515625" style="12" bestFit="1" customWidth="1"/>
    <col min="11270" max="11270" width="12" style="12" bestFit="1" customWidth="1"/>
    <col min="11271" max="11271" width="5" style="12" bestFit="1" customWidth="1"/>
    <col min="11272" max="11272" width="33.140625" style="12" bestFit="1" customWidth="1"/>
    <col min="11273" max="11273" width="15.85546875" style="12" bestFit="1" customWidth="1"/>
    <col min="11274" max="11275" width="0" style="12" hidden="1" customWidth="1"/>
    <col min="11276" max="11276" width="10.5703125" style="12" bestFit="1" customWidth="1"/>
    <col min="11277" max="11277" width="16.140625" style="12" customWidth="1"/>
    <col min="11278" max="11520" width="9.140625" style="12"/>
    <col min="11521" max="11521" width="7.7109375" style="12" bestFit="1" customWidth="1"/>
    <col min="11522" max="11522" width="10.42578125" style="12" customWidth="1"/>
    <col min="11523" max="11523" width="20" style="12" customWidth="1"/>
    <col min="11524" max="11524" width="26.42578125" style="12" customWidth="1"/>
    <col min="11525" max="11525" width="14.28515625" style="12" bestFit="1" customWidth="1"/>
    <col min="11526" max="11526" width="12" style="12" bestFit="1" customWidth="1"/>
    <col min="11527" max="11527" width="5" style="12" bestFit="1" customWidth="1"/>
    <col min="11528" max="11528" width="33.140625" style="12" bestFit="1" customWidth="1"/>
    <col min="11529" max="11529" width="15.85546875" style="12" bestFit="1" customWidth="1"/>
    <col min="11530" max="11531" width="0" style="12" hidden="1" customWidth="1"/>
    <col min="11532" max="11532" width="10.5703125" style="12" bestFit="1" customWidth="1"/>
    <col min="11533" max="11533" width="16.140625" style="12" customWidth="1"/>
    <col min="11534" max="11776" width="9.140625" style="12"/>
    <col min="11777" max="11777" width="7.7109375" style="12" bestFit="1" customWidth="1"/>
    <col min="11778" max="11778" width="10.42578125" style="12" customWidth="1"/>
    <col min="11779" max="11779" width="20" style="12" customWidth="1"/>
    <col min="11780" max="11780" width="26.42578125" style="12" customWidth="1"/>
    <col min="11781" max="11781" width="14.28515625" style="12" bestFit="1" customWidth="1"/>
    <col min="11782" max="11782" width="12" style="12" bestFit="1" customWidth="1"/>
    <col min="11783" max="11783" width="5" style="12" bestFit="1" customWidth="1"/>
    <col min="11784" max="11784" width="33.140625" style="12" bestFit="1" customWidth="1"/>
    <col min="11785" max="11785" width="15.85546875" style="12" bestFit="1" customWidth="1"/>
    <col min="11786" max="11787" width="0" style="12" hidden="1" customWidth="1"/>
    <col min="11788" max="11788" width="10.5703125" style="12" bestFit="1" customWidth="1"/>
    <col min="11789" max="11789" width="16.140625" style="12" customWidth="1"/>
    <col min="11790" max="12032" width="9.140625" style="12"/>
    <col min="12033" max="12033" width="7.7109375" style="12" bestFit="1" customWidth="1"/>
    <col min="12034" max="12034" width="10.42578125" style="12" customWidth="1"/>
    <col min="12035" max="12035" width="20" style="12" customWidth="1"/>
    <col min="12036" max="12036" width="26.42578125" style="12" customWidth="1"/>
    <col min="12037" max="12037" width="14.28515625" style="12" bestFit="1" customWidth="1"/>
    <col min="12038" max="12038" width="12" style="12" bestFit="1" customWidth="1"/>
    <col min="12039" max="12039" width="5" style="12" bestFit="1" customWidth="1"/>
    <col min="12040" max="12040" width="33.140625" style="12" bestFit="1" customWidth="1"/>
    <col min="12041" max="12041" width="15.85546875" style="12" bestFit="1" customWidth="1"/>
    <col min="12042" max="12043" width="0" style="12" hidden="1" customWidth="1"/>
    <col min="12044" max="12044" width="10.5703125" style="12" bestFit="1" customWidth="1"/>
    <col min="12045" max="12045" width="16.140625" style="12" customWidth="1"/>
    <col min="12046" max="12288" width="9.140625" style="12"/>
    <col min="12289" max="12289" width="7.7109375" style="12" bestFit="1" customWidth="1"/>
    <col min="12290" max="12290" width="10.42578125" style="12" customWidth="1"/>
    <col min="12291" max="12291" width="20" style="12" customWidth="1"/>
    <col min="12292" max="12292" width="26.42578125" style="12" customWidth="1"/>
    <col min="12293" max="12293" width="14.28515625" style="12" bestFit="1" customWidth="1"/>
    <col min="12294" max="12294" width="12" style="12" bestFit="1" customWidth="1"/>
    <col min="12295" max="12295" width="5" style="12" bestFit="1" customWidth="1"/>
    <col min="12296" max="12296" width="33.140625" style="12" bestFit="1" customWidth="1"/>
    <col min="12297" max="12297" width="15.85546875" style="12" bestFit="1" customWidth="1"/>
    <col min="12298" max="12299" width="0" style="12" hidden="1" customWidth="1"/>
    <col min="12300" max="12300" width="10.5703125" style="12" bestFit="1" customWidth="1"/>
    <col min="12301" max="12301" width="16.140625" style="12" customWidth="1"/>
    <col min="12302" max="12544" width="9.140625" style="12"/>
    <col min="12545" max="12545" width="7.7109375" style="12" bestFit="1" customWidth="1"/>
    <col min="12546" max="12546" width="10.42578125" style="12" customWidth="1"/>
    <col min="12547" max="12547" width="20" style="12" customWidth="1"/>
    <col min="12548" max="12548" width="26.42578125" style="12" customWidth="1"/>
    <col min="12549" max="12549" width="14.28515625" style="12" bestFit="1" customWidth="1"/>
    <col min="12550" max="12550" width="12" style="12" bestFit="1" customWidth="1"/>
    <col min="12551" max="12551" width="5" style="12" bestFit="1" customWidth="1"/>
    <col min="12552" max="12552" width="33.140625" style="12" bestFit="1" customWidth="1"/>
    <col min="12553" max="12553" width="15.85546875" style="12" bestFit="1" customWidth="1"/>
    <col min="12554" max="12555" width="0" style="12" hidden="1" customWidth="1"/>
    <col min="12556" max="12556" width="10.5703125" style="12" bestFit="1" customWidth="1"/>
    <col min="12557" max="12557" width="16.140625" style="12" customWidth="1"/>
    <col min="12558" max="12800" width="9.140625" style="12"/>
    <col min="12801" max="12801" width="7.7109375" style="12" bestFit="1" customWidth="1"/>
    <col min="12802" max="12802" width="10.42578125" style="12" customWidth="1"/>
    <col min="12803" max="12803" width="20" style="12" customWidth="1"/>
    <col min="12804" max="12804" width="26.42578125" style="12" customWidth="1"/>
    <col min="12805" max="12805" width="14.28515625" style="12" bestFit="1" customWidth="1"/>
    <col min="12806" max="12806" width="12" style="12" bestFit="1" customWidth="1"/>
    <col min="12807" max="12807" width="5" style="12" bestFit="1" customWidth="1"/>
    <col min="12808" max="12808" width="33.140625" style="12" bestFit="1" customWidth="1"/>
    <col min="12809" max="12809" width="15.85546875" style="12" bestFit="1" customWidth="1"/>
    <col min="12810" max="12811" width="0" style="12" hidden="1" customWidth="1"/>
    <col min="12812" max="12812" width="10.5703125" style="12" bestFit="1" customWidth="1"/>
    <col min="12813" max="12813" width="16.140625" style="12" customWidth="1"/>
    <col min="12814" max="13056" width="9.140625" style="12"/>
    <col min="13057" max="13057" width="7.7109375" style="12" bestFit="1" customWidth="1"/>
    <col min="13058" max="13058" width="10.42578125" style="12" customWidth="1"/>
    <col min="13059" max="13059" width="20" style="12" customWidth="1"/>
    <col min="13060" max="13060" width="26.42578125" style="12" customWidth="1"/>
    <col min="13061" max="13061" width="14.28515625" style="12" bestFit="1" customWidth="1"/>
    <col min="13062" max="13062" width="12" style="12" bestFit="1" customWidth="1"/>
    <col min="13063" max="13063" width="5" style="12" bestFit="1" customWidth="1"/>
    <col min="13064" max="13064" width="33.140625" style="12" bestFit="1" customWidth="1"/>
    <col min="13065" max="13065" width="15.85546875" style="12" bestFit="1" customWidth="1"/>
    <col min="13066" max="13067" width="0" style="12" hidden="1" customWidth="1"/>
    <col min="13068" max="13068" width="10.5703125" style="12" bestFit="1" customWidth="1"/>
    <col min="13069" max="13069" width="16.140625" style="12" customWidth="1"/>
    <col min="13070" max="13312" width="9.140625" style="12"/>
    <col min="13313" max="13313" width="7.7109375" style="12" bestFit="1" customWidth="1"/>
    <col min="13314" max="13314" width="10.42578125" style="12" customWidth="1"/>
    <col min="13315" max="13315" width="20" style="12" customWidth="1"/>
    <col min="13316" max="13316" width="26.42578125" style="12" customWidth="1"/>
    <col min="13317" max="13317" width="14.28515625" style="12" bestFit="1" customWidth="1"/>
    <col min="13318" max="13318" width="12" style="12" bestFit="1" customWidth="1"/>
    <col min="13319" max="13319" width="5" style="12" bestFit="1" customWidth="1"/>
    <col min="13320" max="13320" width="33.140625" style="12" bestFit="1" customWidth="1"/>
    <col min="13321" max="13321" width="15.85546875" style="12" bestFit="1" customWidth="1"/>
    <col min="13322" max="13323" width="0" style="12" hidden="1" customWidth="1"/>
    <col min="13324" max="13324" width="10.5703125" style="12" bestFit="1" customWidth="1"/>
    <col min="13325" max="13325" width="16.140625" style="12" customWidth="1"/>
    <col min="13326" max="13568" width="9.140625" style="12"/>
    <col min="13569" max="13569" width="7.7109375" style="12" bestFit="1" customWidth="1"/>
    <col min="13570" max="13570" width="10.42578125" style="12" customWidth="1"/>
    <col min="13571" max="13571" width="20" style="12" customWidth="1"/>
    <col min="13572" max="13572" width="26.42578125" style="12" customWidth="1"/>
    <col min="13573" max="13573" width="14.28515625" style="12" bestFit="1" customWidth="1"/>
    <col min="13574" max="13574" width="12" style="12" bestFit="1" customWidth="1"/>
    <col min="13575" max="13575" width="5" style="12" bestFit="1" customWidth="1"/>
    <col min="13576" max="13576" width="33.140625" style="12" bestFit="1" customWidth="1"/>
    <col min="13577" max="13577" width="15.85546875" style="12" bestFit="1" customWidth="1"/>
    <col min="13578" max="13579" width="0" style="12" hidden="1" customWidth="1"/>
    <col min="13580" max="13580" width="10.5703125" style="12" bestFit="1" customWidth="1"/>
    <col min="13581" max="13581" width="16.140625" style="12" customWidth="1"/>
    <col min="13582" max="13824" width="9.140625" style="12"/>
    <col min="13825" max="13825" width="7.7109375" style="12" bestFit="1" customWidth="1"/>
    <col min="13826" max="13826" width="10.42578125" style="12" customWidth="1"/>
    <col min="13827" max="13827" width="20" style="12" customWidth="1"/>
    <col min="13828" max="13828" width="26.42578125" style="12" customWidth="1"/>
    <col min="13829" max="13829" width="14.28515625" style="12" bestFit="1" customWidth="1"/>
    <col min="13830" max="13830" width="12" style="12" bestFit="1" customWidth="1"/>
    <col min="13831" max="13831" width="5" style="12" bestFit="1" customWidth="1"/>
    <col min="13832" max="13832" width="33.140625" style="12" bestFit="1" customWidth="1"/>
    <col min="13833" max="13833" width="15.85546875" style="12" bestFit="1" customWidth="1"/>
    <col min="13834" max="13835" width="0" style="12" hidden="1" customWidth="1"/>
    <col min="13836" max="13836" width="10.5703125" style="12" bestFit="1" customWidth="1"/>
    <col min="13837" max="13837" width="16.140625" style="12" customWidth="1"/>
    <col min="13838" max="14080" width="9.140625" style="12"/>
    <col min="14081" max="14081" width="7.7109375" style="12" bestFit="1" customWidth="1"/>
    <col min="14082" max="14082" width="10.42578125" style="12" customWidth="1"/>
    <col min="14083" max="14083" width="20" style="12" customWidth="1"/>
    <col min="14084" max="14084" width="26.42578125" style="12" customWidth="1"/>
    <col min="14085" max="14085" width="14.28515625" style="12" bestFit="1" customWidth="1"/>
    <col min="14086" max="14086" width="12" style="12" bestFit="1" customWidth="1"/>
    <col min="14087" max="14087" width="5" style="12" bestFit="1" customWidth="1"/>
    <col min="14088" max="14088" width="33.140625" style="12" bestFit="1" customWidth="1"/>
    <col min="14089" max="14089" width="15.85546875" style="12" bestFit="1" customWidth="1"/>
    <col min="14090" max="14091" width="0" style="12" hidden="1" customWidth="1"/>
    <col min="14092" max="14092" width="10.5703125" style="12" bestFit="1" customWidth="1"/>
    <col min="14093" max="14093" width="16.140625" style="12" customWidth="1"/>
    <col min="14094" max="14336" width="9.140625" style="12"/>
    <col min="14337" max="14337" width="7.7109375" style="12" bestFit="1" customWidth="1"/>
    <col min="14338" max="14338" width="10.42578125" style="12" customWidth="1"/>
    <col min="14339" max="14339" width="20" style="12" customWidth="1"/>
    <col min="14340" max="14340" width="26.42578125" style="12" customWidth="1"/>
    <col min="14341" max="14341" width="14.28515625" style="12" bestFit="1" customWidth="1"/>
    <col min="14342" max="14342" width="12" style="12" bestFit="1" customWidth="1"/>
    <col min="14343" max="14343" width="5" style="12" bestFit="1" customWidth="1"/>
    <col min="14344" max="14344" width="33.140625" style="12" bestFit="1" customWidth="1"/>
    <col min="14345" max="14345" width="15.85546875" style="12" bestFit="1" customWidth="1"/>
    <col min="14346" max="14347" width="0" style="12" hidden="1" customWidth="1"/>
    <col min="14348" max="14348" width="10.5703125" style="12" bestFit="1" customWidth="1"/>
    <col min="14349" max="14349" width="16.140625" style="12" customWidth="1"/>
    <col min="14350" max="14592" width="9.140625" style="12"/>
    <col min="14593" max="14593" width="7.7109375" style="12" bestFit="1" customWidth="1"/>
    <col min="14594" max="14594" width="10.42578125" style="12" customWidth="1"/>
    <col min="14595" max="14595" width="20" style="12" customWidth="1"/>
    <col min="14596" max="14596" width="26.42578125" style="12" customWidth="1"/>
    <col min="14597" max="14597" width="14.28515625" style="12" bestFit="1" customWidth="1"/>
    <col min="14598" max="14598" width="12" style="12" bestFit="1" customWidth="1"/>
    <col min="14599" max="14599" width="5" style="12" bestFit="1" customWidth="1"/>
    <col min="14600" max="14600" width="33.140625" style="12" bestFit="1" customWidth="1"/>
    <col min="14601" max="14601" width="15.85546875" style="12" bestFit="1" customWidth="1"/>
    <col min="14602" max="14603" width="0" style="12" hidden="1" customWidth="1"/>
    <col min="14604" max="14604" width="10.5703125" style="12" bestFit="1" customWidth="1"/>
    <col min="14605" max="14605" width="16.140625" style="12" customWidth="1"/>
    <col min="14606" max="14848" width="9.140625" style="12"/>
    <col min="14849" max="14849" width="7.7109375" style="12" bestFit="1" customWidth="1"/>
    <col min="14850" max="14850" width="10.42578125" style="12" customWidth="1"/>
    <col min="14851" max="14851" width="20" style="12" customWidth="1"/>
    <col min="14852" max="14852" width="26.42578125" style="12" customWidth="1"/>
    <col min="14853" max="14853" width="14.28515625" style="12" bestFit="1" customWidth="1"/>
    <col min="14854" max="14854" width="12" style="12" bestFit="1" customWidth="1"/>
    <col min="14855" max="14855" width="5" style="12" bestFit="1" customWidth="1"/>
    <col min="14856" max="14856" width="33.140625" style="12" bestFit="1" customWidth="1"/>
    <col min="14857" max="14857" width="15.85546875" style="12" bestFit="1" customWidth="1"/>
    <col min="14858" max="14859" width="0" style="12" hidden="1" customWidth="1"/>
    <col min="14860" max="14860" width="10.5703125" style="12" bestFit="1" customWidth="1"/>
    <col min="14861" max="14861" width="16.140625" style="12" customWidth="1"/>
    <col min="14862" max="15104" width="9.140625" style="12"/>
    <col min="15105" max="15105" width="7.7109375" style="12" bestFit="1" customWidth="1"/>
    <col min="15106" max="15106" width="10.42578125" style="12" customWidth="1"/>
    <col min="15107" max="15107" width="20" style="12" customWidth="1"/>
    <col min="15108" max="15108" width="26.42578125" style="12" customWidth="1"/>
    <col min="15109" max="15109" width="14.28515625" style="12" bestFit="1" customWidth="1"/>
    <col min="15110" max="15110" width="12" style="12" bestFit="1" customWidth="1"/>
    <col min="15111" max="15111" width="5" style="12" bestFit="1" customWidth="1"/>
    <col min="15112" max="15112" width="33.140625" style="12" bestFit="1" customWidth="1"/>
    <col min="15113" max="15113" width="15.85546875" style="12" bestFit="1" customWidth="1"/>
    <col min="15114" max="15115" width="0" style="12" hidden="1" customWidth="1"/>
    <col min="15116" max="15116" width="10.5703125" style="12" bestFit="1" customWidth="1"/>
    <col min="15117" max="15117" width="16.140625" style="12" customWidth="1"/>
    <col min="15118" max="15360" width="9.140625" style="12"/>
    <col min="15361" max="15361" width="7.7109375" style="12" bestFit="1" customWidth="1"/>
    <col min="15362" max="15362" width="10.42578125" style="12" customWidth="1"/>
    <col min="15363" max="15363" width="20" style="12" customWidth="1"/>
    <col min="15364" max="15364" width="26.42578125" style="12" customWidth="1"/>
    <col min="15365" max="15365" width="14.28515625" style="12" bestFit="1" customWidth="1"/>
    <col min="15366" max="15366" width="12" style="12" bestFit="1" customWidth="1"/>
    <col min="15367" max="15367" width="5" style="12" bestFit="1" customWidth="1"/>
    <col min="15368" max="15368" width="33.140625" style="12" bestFit="1" customWidth="1"/>
    <col min="15369" max="15369" width="15.85546875" style="12" bestFit="1" customWidth="1"/>
    <col min="15370" max="15371" width="0" style="12" hidden="1" customWidth="1"/>
    <col min="15372" max="15372" width="10.5703125" style="12" bestFit="1" customWidth="1"/>
    <col min="15373" max="15373" width="16.140625" style="12" customWidth="1"/>
    <col min="15374" max="15616" width="9.140625" style="12"/>
    <col min="15617" max="15617" width="7.7109375" style="12" bestFit="1" customWidth="1"/>
    <col min="15618" max="15618" width="10.42578125" style="12" customWidth="1"/>
    <col min="15619" max="15619" width="20" style="12" customWidth="1"/>
    <col min="15620" max="15620" width="26.42578125" style="12" customWidth="1"/>
    <col min="15621" max="15621" width="14.28515625" style="12" bestFit="1" customWidth="1"/>
    <col min="15622" max="15622" width="12" style="12" bestFit="1" customWidth="1"/>
    <col min="15623" max="15623" width="5" style="12" bestFit="1" customWidth="1"/>
    <col min="15624" max="15624" width="33.140625" style="12" bestFit="1" customWidth="1"/>
    <col min="15625" max="15625" width="15.85546875" style="12" bestFit="1" customWidth="1"/>
    <col min="15626" max="15627" width="0" style="12" hidden="1" customWidth="1"/>
    <col min="15628" max="15628" width="10.5703125" style="12" bestFit="1" customWidth="1"/>
    <col min="15629" max="15629" width="16.140625" style="12" customWidth="1"/>
    <col min="15630" max="15872" width="9.140625" style="12"/>
    <col min="15873" max="15873" width="7.7109375" style="12" bestFit="1" customWidth="1"/>
    <col min="15874" max="15874" width="10.42578125" style="12" customWidth="1"/>
    <col min="15875" max="15875" width="20" style="12" customWidth="1"/>
    <col min="15876" max="15876" width="26.42578125" style="12" customWidth="1"/>
    <col min="15877" max="15877" width="14.28515625" style="12" bestFit="1" customWidth="1"/>
    <col min="15878" max="15878" width="12" style="12" bestFit="1" customWidth="1"/>
    <col min="15879" max="15879" width="5" style="12" bestFit="1" customWidth="1"/>
    <col min="15880" max="15880" width="33.140625" style="12" bestFit="1" customWidth="1"/>
    <col min="15881" max="15881" width="15.85546875" style="12" bestFit="1" customWidth="1"/>
    <col min="15882" max="15883" width="0" style="12" hidden="1" customWidth="1"/>
    <col min="15884" max="15884" width="10.5703125" style="12" bestFit="1" customWidth="1"/>
    <col min="15885" max="15885" width="16.140625" style="12" customWidth="1"/>
    <col min="15886" max="16128" width="9.140625" style="12"/>
    <col min="16129" max="16129" width="7.7109375" style="12" bestFit="1" customWidth="1"/>
    <col min="16130" max="16130" width="10.42578125" style="12" customWidth="1"/>
    <col min="16131" max="16131" width="20" style="12" customWidth="1"/>
    <col min="16132" max="16132" width="26.42578125" style="12" customWidth="1"/>
    <col min="16133" max="16133" width="14.28515625" style="12" bestFit="1" customWidth="1"/>
    <col min="16134" max="16134" width="12" style="12" bestFit="1" customWidth="1"/>
    <col min="16135" max="16135" width="5" style="12" bestFit="1" customWidth="1"/>
    <col min="16136" max="16136" width="33.140625" style="12" bestFit="1" customWidth="1"/>
    <col min="16137" max="16137" width="15.85546875" style="12" bestFit="1" customWidth="1"/>
    <col min="16138" max="16139" width="0" style="12" hidden="1" customWidth="1"/>
    <col min="16140" max="16140" width="10.5703125" style="12" bestFit="1" customWidth="1"/>
    <col min="16141" max="16141" width="16.140625" style="12" customWidth="1"/>
    <col min="16142" max="16384" width="9.140625" style="12"/>
  </cols>
  <sheetData>
    <row r="1" spans="1:13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6</v>
      </c>
      <c r="G1" s="11" t="s">
        <v>7</v>
      </c>
      <c r="H1" s="11" t="s">
        <v>11</v>
      </c>
      <c r="I1" s="11" t="s">
        <v>12</v>
      </c>
      <c r="J1" s="11" t="s">
        <v>5259</v>
      </c>
      <c r="K1" s="11" t="s">
        <v>5260</v>
      </c>
      <c r="L1" s="11" t="s">
        <v>13</v>
      </c>
      <c r="M1" s="11" t="s">
        <v>14</v>
      </c>
    </row>
    <row r="2" spans="1:13" x14ac:dyDescent="0.25">
      <c r="A2" s="13" t="s">
        <v>5261</v>
      </c>
      <c r="B2" s="14" t="s">
        <v>5262</v>
      </c>
      <c r="C2" s="13" t="s">
        <v>5263</v>
      </c>
      <c r="D2" s="13" t="s">
        <v>5264</v>
      </c>
      <c r="E2" s="13" t="s">
        <v>1538</v>
      </c>
      <c r="F2" s="15">
        <v>33465</v>
      </c>
      <c r="G2" s="13" t="s">
        <v>20</v>
      </c>
      <c r="H2" s="16" t="s">
        <v>5265</v>
      </c>
      <c r="I2" s="13" t="s">
        <v>5266</v>
      </c>
      <c r="J2" s="13" t="s">
        <v>5267</v>
      </c>
      <c r="K2" s="13" t="s">
        <v>5268</v>
      </c>
      <c r="L2" s="17">
        <v>2013</v>
      </c>
      <c r="M2" s="18"/>
    </row>
    <row r="3" spans="1:13" x14ac:dyDescent="0.25">
      <c r="A3" s="13" t="s">
        <v>5261</v>
      </c>
      <c r="B3" s="19" t="s">
        <v>5269</v>
      </c>
      <c r="C3" s="13" t="s">
        <v>5270</v>
      </c>
      <c r="D3" s="13" t="s">
        <v>5271</v>
      </c>
      <c r="E3" s="13" t="s">
        <v>5272</v>
      </c>
      <c r="F3" s="15">
        <v>32318</v>
      </c>
      <c r="G3" s="13" t="s">
        <v>20</v>
      </c>
      <c r="H3" s="16" t="s">
        <v>5273</v>
      </c>
      <c r="I3" s="13" t="s">
        <v>5274</v>
      </c>
      <c r="J3" s="13" t="s">
        <v>5267</v>
      </c>
      <c r="K3" s="13" t="s">
        <v>5275</v>
      </c>
      <c r="L3" s="17">
        <v>2013</v>
      </c>
      <c r="M3" s="18"/>
    </row>
    <row r="4" spans="1:13" x14ac:dyDescent="0.25">
      <c r="A4" s="13" t="s">
        <v>5261</v>
      </c>
      <c r="B4" s="20" t="s">
        <v>5276</v>
      </c>
      <c r="C4" s="13" t="s">
        <v>1051</v>
      </c>
      <c r="D4" s="13" t="s">
        <v>5277</v>
      </c>
      <c r="E4" s="13" t="s">
        <v>3628</v>
      </c>
      <c r="F4" s="15">
        <v>32908</v>
      </c>
      <c r="G4" s="13" t="s">
        <v>111</v>
      </c>
      <c r="H4" s="16" t="s">
        <v>5278</v>
      </c>
      <c r="I4" s="13" t="s">
        <v>5279</v>
      </c>
      <c r="J4" s="13" t="s">
        <v>5267</v>
      </c>
      <c r="K4" s="13" t="s">
        <v>5280</v>
      </c>
      <c r="L4" s="17">
        <v>2008</v>
      </c>
      <c r="M4" s="18"/>
    </row>
    <row r="5" spans="1:13" x14ac:dyDescent="0.25">
      <c r="A5" s="13" t="s">
        <v>5261</v>
      </c>
      <c r="B5" s="19" t="s">
        <v>5281</v>
      </c>
      <c r="C5" s="13" t="s">
        <v>5282</v>
      </c>
      <c r="D5" s="13" t="s">
        <v>5283</v>
      </c>
      <c r="E5" s="13" t="s">
        <v>678</v>
      </c>
      <c r="F5" s="15">
        <v>32881</v>
      </c>
      <c r="G5" s="13" t="s">
        <v>20</v>
      </c>
      <c r="H5" s="16" t="s">
        <v>5284</v>
      </c>
      <c r="I5" s="13"/>
      <c r="J5" s="13" t="s">
        <v>5267</v>
      </c>
      <c r="K5" s="13" t="s">
        <v>5268</v>
      </c>
      <c r="L5" s="17">
        <v>2013</v>
      </c>
      <c r="M5" s="18"/>
    </row>
    <row r="6" spans="1:13" x14ac:dyDescent="0.25">
      <c r="A6" s="13" t="s">
        <v>5285</v>
      </c>
      <c r="B6" s="19" t="s">
        <v>5286</v>
      </c>
      <c r="C6" s="13" t="s">
        <v>5287</v>
      </c>
      <c r="D6" s="13" t="s">
        <v>5288</v>
      </c>
      <c r="E6" s="13" t="s">
        <v>5289</v>
      </c>
      <c r="F6" s="15">
        <v>32484</v>
      </c>
      <c r="G6" s="13" t="s">
        <v>20</v>
      </c>
      <c r="H6" s="16" t="s">
        <v>5290</v>
      </c>
      <c r="I6" s="13" t="s">
        <v>5291</v>
      </c>
      <c r="J6" s="13" t="s">
        <v>5267</v>
      </c>
      <c r="K6" s="13" t="s">
        <v>5292</v>
      </c>
      <c r="L6" s="17">
        <v>2013</v>
      </c>
      <c r="M6" s="18"/>
    </row>
    <row r="7" spans="1:13" x14ac:dyDescent="0.25">
      <c r="A7" s="13" t="s">
        <v>5293</v>
      </c>
      <c r="B7" s="14" t="s">
        <v>5294</v>
      </c>
      <c r="C7" s="13" t="s">
        <v>5295</v>
      </c>
      <c r="D7" s="13" t="s">
        <v>5296</v>
      </c>
      <c r="E7" s="13" t="s">
        <v>5297</v>
      </c>
      <c r="F7" s="15">
        <v>33212</v>
      </c>
      <c r="G7" s="13" t="s">
        <v>20</v>
      </c>
      <c r="H7" s="16" t="s">
        <v>5298</v>
      </c>
      <c r="I7" s="13" t="s">
        <v>5299</v>
      </c>
      <c r="J7" s="13" t="s">
        <v>5267</v>
      </c>
      <c r="K7" s="13" t="s">
        <v>5300</v>
      </c>
      <c r="L7" s="17">
        <v>2012</v>
      </c>
      <c r="M7" s="18"/>
    </row>
    <row r="8" spans="1:13" x14ac:dyDescent="0.25">
      <c r="A8" s="13" t="s">
        <v>5261</v>
      </c>
      <c r="B8" s="19" t="s">
        <v>5301</v>
      </c>
      <c r="C8" s="13" t="s">
        <v>5302</v>
      </c>
      <c r="D8" s="13" t="s">
        <v>5303</v>
      </c>
      <c r="E8" s="13" t="s">
        <v>5304</v>
      </c>
      <c r="F8" s="15">
        <v>32612</v>
      </c>
      <c r="G8" s="13" t="s">
        <v>20</v>
      </c>
      <c r="H8" s="16" t="s">
        <v>5305</v>
      </c>
      <c r="I8" s="13" t="s">
        <v>5306</v>
      </c>
      <c r="J8" s="13" t="s">
        <v>5267</v>
      </c>
      <c r="K8" s="13" t="s">
        <v>5292</v>
      </c>
      <c r="L8" s="17">
        <v>2013</v>
      </c>
      <c r="M8" s="18"/>
    </row>
    <row r="9" spans="1:13" x14ac:dyDescent="0.25">
      <c r="A9" s="13" t="s">
        <v>5307</v>
      </c>
      <c r="B9" s="19" t="s">
        <v>5308</v>
      </c>
      <c r="C9" s="13" t="s">
        <v>2728</v>
      </c>
      <c r="D9" s="13" t="s">
        <v>2729</v>
      </c>
      <c r="E9" s="13" t="s">
        <v>1582</v>
      </c>
      <c r="F9" s="15">
        <v>32925</v>
      </c>
      <c r="G9" s="13" t="s">
        <v>20</v>
      </c>
      <c r="H9" s="16" t="s">
        <v>5309</v>
      </c>
      <c r="I9" s="13" t="s">
        <v>5310</v>
      </c>
      <c r="J9" s="13" t="s">
        <v>5267</v>
      </c>
      <c r="K9" s="13" t="s">
        <v>5292</v>
      </c>
      <c r="L9" s="17">
        <v>2013</v>
      </c>
      <c r="M9" s="18"/>
    </row>
    <row r="10" spans="1:13" x14ac:dyDescent="0.25">
      <c r="A10" s="13" t="s">
        <v>5307</v>
      </c>
      <c r="B10" s="14" t="s">
        <v>5311</v>
      </c>
      <c r="C10" s="13" t="s">
        <v>5312</v>
      </c>
      <c r="D10" s="13" t="s">
        <v>5313</v>
      </c>
      <c r="E10" s="13" t="s">
        <v>5297</v>
      </c>
      <c r="F10" s="15">
        <v>33147</v>
      </c>
      <c r="G10" s="13" t="s">
        <v>20</v>
      </c>
      <c r="H10" s="16" t="s">
        <v>5314</v>
      </c>
      <c r="I10" s="13" t="s">
        <v>5315</v>
      </c>
      <c r="J10" s="13" t="s">
        <v>5267</v>
      </c>
      <c r="K10" s="13" t="s">
        <v>5300</v>
      </c>
      <c r="L10" s="17">
        <v>2013</v>
      </c>
      <c r="M10" s="18"/>
    </row>
    <row r="11" spans="1:13" x14ac:dyDescent="0.25">
      <c r="A11" s="13" t="s">
        <v>5261</v>
      </c>
      <c r="B11" s="19" t="s">
        <v>5316</v>
      </c>
      <c r="C11" s="13" t="s">
        <v>5317</v>
      </c>
      <c r="D11" s="13" t="s">
        <v>5318</v>
      </c>
      <c r="E11" s="13" t="s">
        <v>5319</v>
      </c>
      <c r="F11" s="15">
        <v>33119</v>
      </c>
      <c r="G11" s="13" t="s">
        <v>20</v>
      </c>
      <c r="H11" s="16" t="s">
        <v>5320</v>
      </c>
      <c r="I11" s="13"/>
      <c r="J11" s="13" t="s">
        <v>5267</v>
      </c>
      <c r="K11" s="13" t="s">
        <v>5321</v>
      </c>
      <c r="L11" s="17">
        <v>2013</v>
      </c>
      <c r="M11" s="18"/>
    </row>
    <row r="12" spans="1:13" x14ac:dyDescent="0.25">
      <c r="A12" s="13" t="s">
        <v>5261</v>
      </c>
      <c r="B12" s="19" t="s">
        <v>5322</v>
      </c>
      <c r="C12" s="13" t="s">
        <v>4970</v>
      </c>
      <c r="D12" s="13" t="s">
        <v>4971</v>
      </c>
      <c r="E12" s="13" t="s">
        <v>4972</v>
      </c>
      <c r="F12" s="15">
        <v>30721</v>
      </c>
      <c r="G12" s="13" t="s">
        <v>20</v>
      </c>
      <c r="H12" s="16" t="s">
        <v>4975</v>
      </c>
      <c r="I12" s="13" t="s">
        <v>5323</v>
      </c>
      <c r="J12" s="13" t="s">
        <v>5267</v>
      </c>
      <c r="K12" s="13" t="s">
        <v>5321</v>
      </c>
      <c r="L12" s="17">
        <v>2002</v>
      </c>
      <c r="M12" s="18"/>
    </row>
    <row r="13" spans="1:13" x14ac:dyDescent="0.25">
      <c r="A13" s="13" t="s">
        <v>5307</v>
      </c>
      <c r="B13" s="19" t="s">
        <v>5324</v>
      </c>
      <c r="C13" s="13" t="s">
        <v>5325</v>
      </c>
      <c r="D13" s="13" t="s">
        <v>5326</v>
      </c>
      <c r="E13" s="13" t="s">
        <v>5327</v>
      </c>
      <c r="F13" s="15">
        <v>32634</v>
      </c>
      <c r="G13" s="13" t="s">
        <v>20</v>
      </c>
      <c r="H13" s="16" t="s">
        <v>5328</v>
      </c>
      <c r="I13" s="13" t="s">
        <v>5329</v>
      </c>
      <c r="J13" s="13" t="s">
        <v>5267</v>
      </c>
      <c r="K13" s="13" t="s">
        <v>5321</v>
      </c>
      <c r="L13" s="17">
        <v>2013</v>
      </c>
      <c r="M13" s="18"/>
    </row>
    <row r="14" spans="1:13" x14ac:dyDescent="0.25">
      <c r="A14" s="13" t="s">
        <v>5261</v>
      </c>
      <c r="B14" s="19" t="s">
        <v>5330</v>
      </c>
      <c r="C14" s="13" t="s">
        <v>5331</v>
      </c>
      <c r="D14" s="13" t="s">
        <v>5332</v>
      </c>
      <c r="E14" s="13" t="s">
        <v>5333</v>
      </c>
      <c r="F14" s="15">
        <v>31827</v>
      </c>
      <c r="G14" s="13" t="s">
        <v>20</v>
      </c>
      <c r="H14" s="16" t="s">
        <v>5334</v>
      </c>
      <c r="I14" s="13" t="s">
        <v>5335</v>
      </c>
      <c r="J14" s="13" t="s">
        <v>5267</v>
      </c>
      <c r="K14" s="13" t="s">
        <v>5336</v>
      </c>
      <c r="L14" s="17">
        <v>2013</v>
      </c>
      <c r="M14" s="18"/>
    </row>
    <row r="15" spans="1:13" x14ac:dyDescent="0.25">
      <c r="A15" s="13" t="s">
        <v>5293</v>
      </c>
      <c r="B15" s="21" t="s">
        <v>5337</v>
      </c>
      <c r="C15" s="13" t="s">
        <v>4004</v>
      </c>
      <c r="D15" s="13" t="s">
        <v>4005</v>
      </c>
      <c r="E15" s="13" t="s">
        <v>4006</v>
      </c>
      <c r="F15" s="15">
        <v>34084</v>
      </c>
      <c r="G15" s="13" t="s">
        <v>20</v>
      </c>
      <c r="H15" s="16" t="s">
        <v>4009</v>
      </c>
      <c r="I15" s="13" t="s">
        <v>5338</v>
      </c>
      <c r="J15" s="13" t="s">
        <v>5267</v>
      </c>
      <c r="K15" s="13" t="s">
        <v>5339</v>
      </c>
      <c r="L15" s="17">
        <v>2013</v>
      </c>
      <c r="M15" s="18"/>
    </row>
    <row r="16" spans="1:13" x14ac:dyDescent="0.25">
      <c r="A16" s="13" t="s">
        <v>5293</v>
      </c>
      <c r="B16" s="19" t="s">
        <v>5340</v>
      </c>
      <c r="C16" s="13" t="s">
        <v>2224</v>
      </c>
      <c r="D16" s="13" t="s">
        <v>5341</v>
      </c>
      <c r="E16" s="13" t="s">
        <v>939</v>
      </c>
      <c r="F16" s="15">
        <v>33212</v>
      </c>
      <c r="G16" s="13" t="s">
        <v>20</v>
      </c>
      <c r="H16" s="16" t="s">
        <v>5342</v>
      </c>
      <c r="I16" s="13" t="s">
        <v>5343</v>
      </c>
      <c r="J16" s="13" t="s">
        <v>5267</v>
      </c>
      <c r="K16" s="13" t="s">
        <v>5292</v>
      </c>
      <c r="L16" s="17">
        <v>2013</v>
      </c>
      <c r="M16" s="18"/>
    </row>
    <row r="17" spans="1:13" x14ac:dyDescent="0.25">
      <c r="A17" s="13" t="s">
        <v>5307</v>
      </c>
      <c r="B17" s="14" t="s">
        <v>5344</v>
      </c>
      <c r="C17" s="13" t="s">
        <v>676</v>
      </c>
      <c r="D17" s="13" t="s">
        <v>5345</v>
      </c>
      <c r="E17" s="13" t="s">
        <v>218</v>
      </c>
      <c r="F17" s="15">
        <v>33484</v>
      </c>
      <c r="G17" s="13" t="s">
        <v>20</v>
      </c>
      <c r="H17" s="16" t="s">
        <v>5346</v>
      </c>
      <c r="I17" s="13" t="s">
        <v>5347</v>
      </c>
      <c r="J17" s="13" t="s">
        <v>5267</v>
      </c>
      <c r="K17" s="13" t="s">
        <v>5348</v>
      </c>
      <c r="L17" s="17">
        <v>2013</v>
      </c>
      <c r="M17" s="18"/>
    </row>
    <row r="18" spans="1:13" x14ac:dyDescent="0.25">
      <c r="A18" s="13" t="s">
        <v>5293</v>
      </c>
      <c r="B18" s="19" t="s">
        <v>5349</v>
      </c>
      <c r="C18" s="13" t="s">
        <v>5350</v>
      </c>
      <c r="D18" s="13" t="s">
        <v>5351</v>
      </c>
      <c r="E18" s="13" t="s">
        <v>5352</v>
      </c>
      <c r="F18" s="15">
        <v>33411</v>
      </c>
      <c r="G18" s="13" t="s">
        <v>20</v>
      </c>
      <c r="H18" s="16" t="s">
        <v>5353</v>
      </c>
      <c r="I18" s="13" t="s">
        <v>5354</v>
      </c>
      <c r="J18" s="13" t="s">
        <v>5267</v>
      </c>
      <c r="K18" s="13" t="s">
        <v>5268</v>
      </c>
      <c r="L18" s="17">
        <v>2013</v>
      </c>
      <c r="M18" s="18"/>
    </row>
    <row r="19" spans="1:13" x14ac:dyDescent="0.25">
      <c r="A19" s="13" t="s">
        <v>5261</v>
      </c>
      <c r="B19" s="21" t="s">
        <v>5355</v>
      </c>
      <c r="C19" s="13" t="s">
        <v>4567</v>
      </c>
      <c r="D19" s="13" t="s">
        <v>5356</v>
      </c>
      <c r="E19" s="13" t="s">
        <v>5357</v>
      </c>
      <c r="F19" s="15">
        <v>33316</v>
      </c>
      <c r="G19" s="13" t="s">
        <v>20</v>
      </c>
      <c r="H19" s="16" t="s">
        <v>5358</v>
      </c>
      <c r="I19" s="13" t="s">
        <v>5359</v>
      </c>
      <c r="J19" s="13" t="s">
        <v>5267</v>
      </c>
      <c r="K19" s="13" t="s">
        <v>5321</v>
      </c>
      <c r="L19" s="17">
        <v>2009</v>
      </c>
      <c r="M19" s="18"/>
    </row>
    <row r="20" spans="1:13" x14ac:dyDescent="0.25">
      <c r="A20" s="13" t="s">
        <v>5360</v>
      </c>
      <c r="B20" s="14" t="s">
        <v>5361</v>
      </c>
      <c r="C20" s="13" t="s">
        <v>5362</v>
      </c>
      <c r="D20" s="13" t="s">
        <v>5363</v>
      </c>
      <c r="E20" s="13" t="s">
        <v>4255</v>
      </c>
      <c r="F20" s="15">
        <v>32597</v>
      </c>
      <c r="G20" s="13" t="s">
        <v>20</v>
      </c>
      <c r="H20" s="16" t="s">
        <v>5364</v>
      </c>
      <c r="I20" s="13" t="s">
        <v>5365</v>
      </c>
      <c r="J20" s="13" t="s">
        <v>5267</v>
      </c>
      <c r="K20" s="13" t="s">
        <v>5280</v>
      </c>
      <c r="L20" s="17">
        <v>2007</v>
      </c>
      <c r="M20" s="18"/>
    </row>
    <row r="21" spans="1:13" x14ac:dyDescent="0.25">
      <c r="A21" s="13" t="s">
        <v>5307</v>
      </c>
      <c r="B21" s="19" t="s">
        <v>5366</v>
      </c>
      <c r="C21" s="13" t="s">
        <v>5367</v>
      </c>
      <c r="D21" s="13" t="s">
        <v>5368</v>
      </c>
      <c r="E21" s="13" t="s">
        <v>5369</v>
      </c>
      <c r="F21" s="15">
        <v>33706</v>
      </c>
      <c r="G21" s="13" t="s">
        <v>20</v>
      </c>
      <c r="H21" s="16" t="s">
        <v>5370</v>
      </c>
      <c r="I21" s="13" t="s">
        <v>5371</v>
      </c>
      <c r="J21" s="13" t="s">
        <v>5267</v>
      </c>
      <c r="K21" s="13" t="s">
        <v>5339</v>
      </c>
      <c r="L21" s="17">
        <v>2013</v>
      </c>
      <c r="M21" s="18"/>
    </row>
    <row r="22" spans="1:13" x14ac:dyDescent="0.25">
      <c r="A22" s="13" t="s">
        <v>5261</v>
      </c>
      <c r="B22" s="19" t="s">
        <v>5372</v>
      </c>
      <c r="C22" s="13" t="s">
        <v>5373</v>
      </c>
      <c r="D22" s="13" t="s">
        <v>5374</v>
      </c>
      <c r="E22" s="13" t="s">
        <v>5375</v>
      </c>
      <c r="F22" s="15">
        <v>32715</v>
      </c>
      <c r="G22" s="13" t="s">
        <v>20</v>
      </c>
      <c r="H22" s="16" t="s">
        <v>5376</v>
      </c>
      <c r="I22" s="13" t="s">
        <v>5377</v>
      </c>
      <c r="J22" s="13" t="s">
        <v>5267</v>
      </c>
      <c r="K22" s="13" t="s">
        <v>5268</v>
      </c>
      <c r="L22" s="17">
        <v>2013</v>
      </c>
      <c r="M22" s="18"/>
    </row>
    <row r="23" spans="1:13" x14ac:dyDescent="0.25">
      <c r="A23" s="13" t="s">
        <v>5360</v>
      </c>
      <c r="B23" s="19" t="s">
        <v>5378</v>
      </c>
      <c r="C23" s="13" t="s">
        <v>5379</v>
      </c>
      <c r="D23" s="13" t="s">
        <v>5380</v>
      </c>
      <c r="E23" s="13" t="s">
        <v>2898</v>
      </c>
      <c r="F23" s="15">
        <v>32252</v>
      </c>
      <c r="G23" s="13" t="s">
        <v>20</v>
      </c>
      <c r="H23" s="16" t="s">
        <v>5381</v>
      </c>
      <c r="I23" s="13" t="s">
        <v>5382</v>
      </c>
      <c r="J23" s="13" t="s">
        <v>5267</v>
      </c>
      <c r="K23" s="13" t="s">
        <v>5348</v>
      </c>
      <c r="L23" s="17">
        <v>2012</v>
      </c>
      <c r="M23" s="18"/>
    </row>
    <row r="24" spans="1:13" x14ac:dyDescent="0.25">
      <c r="A24" s="13" t="s">
        <v>5261</v>
      </c>
      <c r="B24" s="19" t="s">
        <v>5383</v>
      </c>
      <c r="C24" s="13" t="s">
        <v>5384</v>
      </c>
      <c r="D24" s="13" t="s">
        <v>5385</v>
      </c>
      <c r="E24" s="13" t="s">
        <v>2518</v>
      </c>
      <c r="F24" s="15">
        <v>33186</v>
      </c>
      <c r="G24" s="13" t="s">
        <v>20</v>
      </c>
      <c r="H24" s="16" t="s">
        <v>5386</v>
      </c>
      <c r="I24" s="13"/>
      <c r="J24" s="13" t="s">
        <v>5267</v>
      </c>
      <c r="K24" s="13" t="s">
        <v>5321</v>
      </c>
      <c r="L24" s="17">
        <v>2013</v>
      </c>
      <c r="M24" s="18"/>
    </row>
    <row r="25" spans="1:13" x14ac:dyDescent="0.25">
      <c r="A25" s="13" t="s">
        <v>5307</v>
      </c>
      <c r="B25" s="21" t="s">
        <v>5387</v>
      </c>
      <c r="C25" s="13" t="s">
        <v>5257</v>
      </c>
      <c r="D25" s="13" t="s">
        <v>5388</v>
      </c>
      <c r="E25" s="13" t="s">
        <v>1413</v>
      </c>
      <c r="F25" s="15">
        <v>33002</v>
      </c>
      <c r="G25" s="13" t="s">
        <v>20</v>
      </c>
      <c r="H25" s="16" t="s">
        <v>5389</v>
      </c>
      <c r="I25" s="13" t="s">
        <v>5390</v>
      </c>
      <c r="J25" s="13" t="s">
        <v>5267</v>
      </c>
      <c r="K25" s="13" t="s">
        <v>5391</v>
      </c>
      <c r="L25" s="17">
        <v>2009</v>
      </c>
      <c r="M25" s="18"/>
    </row>
    <row r="26" spans="1:13" x14ac:dyDescent="0.25">
      <c r="A26" s="13" t="s">
        <v>5261</v>
      </c>
      <c r="B26" s="20" t="s">
        <v>5392</v>
      </c>
      <c r="C26" s="13" t="s">
        <v>5393</v>
      </c>
      <c r="D26" s="13" t="s">
        <v>5394</v>
      </c>
      <c r="E26" s="13" t="s">
        <v>5395</v>
      </c>
      <c r="F26" s="15">
        <v>33305</v>
      </c>
      <c r="G26" s="13" t="s">
        <v>111</v>
      </c>
      <c r="H26" s="16" t="s">
        <v>5396</v>
      </c>
      <c r="I26" s="13" t="s">
        <v>5397</v>
      </c>
      <c r="J26" s="13" t="s">
        <v>5267</v>
      </c>
      <c r="K26" s="13" t="s">
        <v>5398</v>
      </c>
      <c r="L26" s="17">
        <v>2009</v>
      </c>
      <c r="M26" s="18"/>
    </row>
    <row r="27" spans="1:13" x14ac:dyDescent="0.25">
      <c r="A27" s="13" t="s">
        <v>5360</v>
      </c>
      <c r="B27" s="19" t="s">
        <v>5399</v>
      </c>
      <c r="C27" s="13" t="s">
        <v>5400</v>
      </c>
      <c r="D27" s="13" t="s">
        <v>5401</v>
      </c>
      <c r="E27" s="13" t="s">
        <v>5402</v>
      </c>
      <c r="F27" s="15">
        <v>32707</v>
      </c>
      <c r="G27" s="13" t="s">
        <v>20</v>
      </c>
      <c r="H27" s="16" t="s">
        <v>5403</v>
      </c>
      <c r="I27" s="13" t="s">
        <v>5404</v>
      </c>
      <c r="J27" s="13" t="s">
        <v>5267</v>
      </c>
      <c r="K27" s="13" t="s">
        <v>5280</v>
      </c>
      <c r="L27" s="17">
        <v>2013</v>
      </c>
      <c r="M27" s="18"/>
    </row>
    <row r="28" spans="1:13" x14ac:dyDescent="0.25">
      <c r="A28" s="13" t="s">
        <v>5261</v>
      </c>
      <c r="B28" s="19" t="s">
        <v>5405</v>
      </c>
      <c r="C28" s="13" t="s">
        <v>5406</v>
      </c>
      <c r="D28" s="13" t="s">
        <v>5407</v>
      </c>
      <c r="E28" s="13" t="s">
        <v>5408</v>
      </c>
      <c r="F28" s="15">
        <v>33392</v>
      </c>
      <c r="G28" s="13" t="s">
        <v>20</v>
      </c>
      <c r="H28" s="16" t="s">
        <v>5409</v>
      </c>
      <c r="I28" s="13" t="s">
        <v>5410</v>
      </c>
      <c r="J28" s="13" t="s">
        <v>5267</v>
      </c>
      <c r="K28" s="13" t="s">
        <v>5268</v>
      </c>
      <c r="L28" s="17">
        <v>2013</v>
      </c>
      <c r="M28" s="18"/>
    </row>
    <row r="29" spans="1:13" x14ac:dyDescent="0.25">
      <c r="A29" s="13" t="s">
        <v>5307</v>
      </c>
      <c r="B29" s="19" t="s">
        <v>5411</v>
      </c>
      <c r="C29" s="13" t="s">
        <v>5412</v>
      </c>
      <c r="D29" s="13" t="s">
        <v>5413</v>
      </c>
      <c r="E29" s="13" t="s">
        <v>4175</v>
      </c>
      <c r="F29" s="15">
        <v>33090</v>
      </c>
      <c r="G29" s="13" t="s">
        <v>20</v>
      </c>
      <c r="H29" s="16" t="s">
        <v>5414</v>
      </c>
      <c r="I29" s="13" t="s">
        <v>5415</v>
      </c>
      <c r="J29" s="13" t="s">
        <v>5267</v>
      </c>
      <c r="K29" s="13" t="s">
        <v>5268</v>
      </c>
      <c r="L29" s="17">
        <v>2013</v>
      </c>
      <c r="M29" s="18"/>
    </row>
    <row r="30" spans="1:13" x14ac:dyDescent="0.25">
      <c r="A30" s="13" t="s">
        <v>5261</v>
      </c>
      <c r="B30" s="19" t="s">
        <v>5416</v>
      </c>
      <c r="C30" s="13" t="s">
        <v>5417</v>
      </c>
      <c r="D30" s="13" t="s">
        <v>5418</v>
      </c>
      <c r="E30" s="13" t="s">
        <v>384</v>
      </c>
      <c r="F30" s="15">
        <v>32646</v>
      </c>
      <c r="G30" s="13" t="s">
        <v>20</v>
      </c>
      <c r="H30" s="16" t="s">
        <v>5419</v>
      </c>
      <c r="I30" s="13" t="s">
        <v>5420</v>
      </c>
      <c r="J30" s="13" t="s">
        <v>5267</v>
      </c>
      <c r="K30" s="13" t="s">
        <v>5268</v>
      </c>
      <c r="L30" s="17">
        <v>2013</v>
      </c>
      <c r="M30" s="18"/>
    </row>
    <row r="31" spans="1:13" x14ac:dyDescent="0.25">
      <c r="A31" s="13" t="s">
        <v>5261</v>
      </c>
      <c r="B31" s="14" t="s">
        <v>5421</v>
      </c>
      <c r="C31" s="13" t="s">
        <v>5422</v>
      </c>
      <c r="D31" s="13" t="s">
        <v>5423</v>
      </c>
      <c r="E31" s="13" t="s">
        <v>5424</v>
      </c>
      <c r="F31" s="15">
        <v>30717</v>
      </c>
      <c r="G31" s="13" t="s">
        <v>111</v>
      </c>
      <c r="H31" s="16" t="s">
        <v>5425</v>
      </c>
      <c r="I31" s="13" t="s">
        <v>5426</v>
      </c>
      <c r="J31" s="13" t="s">
        <v>5267</v>
      </c>
      <c r="K31" s="13" t="s">
        <v>5300</v>
      </c>
      <c r="L31" s="17">
        <v>2013</v>
      </c>
      <c r="M31" s="18"/>
    </row>
    <row r="32" spans="1:13" x14ac:dyDescent="0.25">
      <c r="A32" s="13" t="s">
        <v>5261</v>
      </c>
      <c r="B32" s="20" t="s">
        <v>5427</v>
      </c>
      <c r="C32" s="13" t="s">
        <v>5428</v>
      </c>
      <c r="D32" s="13" t="s">
        <v>5429</v>
      </c>
      <c r="E32" s="13" t="s">
        <v>5430</v>
      </c>
      <c r="F32" s="15">
        <v>33328</v>
      </c>
      <c r="G32" s="13" t="s">
        <v>111</v>
      </c>
      <c r="H32" s="16" t="s">
        <v>5431</v>
      </c>
      <c r="I32" s="13" t="s">
        <v>5432</v>
      </c>
      <c r="J32" s="13" t="s">
        <v>5267</v>
      </c>
      <c r="K32" s="13" t="s">
        <v>5280</v>
      </c>
      <c r="L32" s="17">
        <v>2009</v>
      </c>
      <c r="M32" s="18"/>
    </row>
    <row r="33" spans="1:13" x14ac:dyDescent="0.25">
      <c r="A33" s="13" t="s">
        <v>5261</v>
      </c>
      <c r="B33" s="20" t="s">
        <v>5433</v>
      </c>
      <c r="C33" s="13" t="s">
        <v>5434</v>
      </c>
      <c r="D33" s="13" t="s">
        <v>5435</v>
      </c>
      <c r="E33" s="13" t="s">
        <v>5436</v>
      </c>
      <c r="F33" s="15">
        <v>32722</v>
      </c>
      <c r="G33" s="13" t="s">
        <v>111</v>
      </c>
      <c r="H33" s="16" t="s">
        <v>5437</v>
      </c>
      <c r="I33" s="13" t="s">
        <v>5438</v>
      </c>
      <c r="J33" s="13" t="s">
        <v>5267</v>
      </c>
      <c r="K33" s="13" t="s">
        <v>5321</v>
      </c>
      <c r="L33" s="17">
        <v>2009</v>
      </c>
      <c r="M33" s="18"/>
    </row>
    <row r="34" spans="1:13" x14ac:dyDescent="0.25">
      <c r="A34" s="13" t="s">
        <v>5261</v>
      </c>
      <c r="B34" s="19" t="s">
        <v>5322</v>
      </c>
      <c r="C34" s="13" t="s">
        <v>4970</v>
      </c>
      <c r="D34" s="13" t="s">
        <v>4971</v>
      </c>
      <c r="E34" s="13" t="s">
        <v>4972</v>
      </c>
      <c r="F34" s="15">
        <v>30721</v>
      </c>
      <c r="G34" s="13" t="s">
        <v>20</v>
      </c>
      <c r="H34" s="16" t="s">
        <v>4975</v>
      </c>
      <c r="I34" s="13" t="s">
        <v>5323</v>
      </c>
      <c r="J34" s="13" t="s">
        <v>5267</v>
      </c>
      <c r="K34" s="13" t="s">
        <v>5321</v>
      </c>
      <c r="L34" s="17">
        <v>2002</v>
      </c>
      <c r="M34" s="18"/>
    </row>
    <row r="35" spans="1:13" x14ac:dyDescent="0.25">
      <c r="A35" s="13" t="s">
        <v>5360</v>
      </c>
      <c r="B35" s="19" t="s">
        <v>5439</v>
      </c>
      <c r="C35" s="13" t="s">
        <v>5440</v>
      </c>
      <c r="D35" s="13" t="s">
        <v>5441</v>
      </c>
      <c r="E35" s="13" t="s">
        <v>867</v>
      </c>
      <c r="F35" s="15">
        <v>33657</v>
      </c>
      <c r="G35" s="13" t="s">
        <v>20</v>
      </c>
      <c r="H35" s="16" t="s">
        <v>5442</v>
      </c>
      <c r="I35" s="13" t="s">
        <v>5443</v>
      </c>
      <c r="J35" s="13" t="s">
        <v>5267</v>
      </c>
      <c r="K35" s="13" t="s">
        <v>5444</v>
      </c>
      <c r="L35" s="17">
        <v>2013</v>
      </c>
      <c r="M35" s="18"/>
    </row>
    <row r="36" spans="1:13" x14ac:dyDescent="0.25">
      <c r="A36" s="13" t="s">
        <v>5261</v>
      </c>
      <c r="B36" s="19" t="s">
        <v>5445</v>
      </c>
      <c r="C36" s="13" t="s">
        <v>5446</v>
      </c>
      <c r="D36" s="13" t="s">
        <v>5447</v>
      </c>
      <c r="E36" s="13" t="s">
        <v>5448</v>
      </c>
      <c r="F36" s="15">
        <v>32876</v>
      </c>
      <c r="G36" s="13" t="s">
        <v>20</v>
      </c>
      <c r="H36" s="16" t="s">
        <v>5449</v>
      </c>
      <c r="I36" s="13" t="s">
        <v>5450</v>
      </c>
      <c r="J36" s="13" t="s">
        <v>5267</v>
      </c>
      <c r="K36" s="13" t="s">
        <v>5348</v>
      </c>
      <c r="L36" s="17">
        <v>2013</v>
      </c>
      <c r="M36" s="18"/>
    </row>
    <row r="37" spans="1:13" x14ac:dyDescent="0.25">
      <c r="A37" s="13" t="s">
        <v>5261</v>
      </c>
      <c r="B37" s="20" t="s">
        <v>5451</v>
      </c>
      <c r="C37" s="13" t="s">
        <v>5452</v>
      </c>
      <c r="D37" s="13" t="s">
        <v>5453</v>
      </c>
      <c r="E37" s="13" t="s">
        <v>1442</v>
      </c>
      <c r="F37" s="15">
        <v>33356</v>
      </c>
      <c r="G37" s="13" t="s">
        <v>20</v>
      </c>
      <c r="H37" s="16" t="s">
        <v>5454</v>
      </c>
      <c r="I37" s="13" t="s">
        <v>5455</v>
      </c>
      <c r="J37" s="13" t="s">
        <v>5267</v>
      </c>
      <c r="K37" s="13" t="s">
        <v>5398</v>
      </c>
      <c r="L37" s="17">
        <v>2010</v>
      </c>
      <c r="M37" s="18"/>
    </row>
    <row r="38" spans="1:13" x14ac:dyDescent="0.25">
      <c r="A38" s="13" t="s">
        <v>5261</v>
      </c>
      <c r="B38" s="19" t="s">
        <v>5456</v>
      </c>
      <c r="C38" s="13" t="s">
        <v>1909</v>
      </c>
      <c r="D38" s="13" t="s">
        <v>5457</v>
      </c>
      <c r="E38" s="13" t="s">
        <v>539</v>
      </c>
      <c r="F38" s="15">
        <v>33382</v>
      </c>
      <c r="G38" s="13" t="s">
        <v>20</v>
      </c>
      <c r="H38" s="16" t="s">
        <v>5458</v>
      </c>
      <c r="I38" s="13" t="s">
        <v>5459</v>
      </c>
      <c r="J38" s="13" t="s">
        <v>5267</v>
      </c>
      <c r="K38" s="13" t="s">
        <v>5339</v>
      </c>
      <c r="L38" s="17">
        <v>2013</v>
      </c>
      <c r="M38" s="18"/>
    </row>
    <row r="39" spans="1:13" x14ac:dyDescent="0.25">
      <c r="A39" s="13" t="s">
        <v>5261</v>
      </c>
      <c r="B39" s="21" t="s">
        <v>5460</v>
      </c>
      <c r="C39" s="13" t="s">
        <v>5178</v>
      </c>
      <c r="D39" s="13" t="s">
        <v>5461</v>
      </c>
      <c r="E39" s="13" t="s">
        <v>3072</v>
      </c>
      <c r="F39" s="15">
        <v>34156</v>
      </c>
      <c r="G39" s="13" t="s">
        <v>20</v>
      </c>
      <c r="H39" s="16" t="s">
        <v>5462</v>
      </c>
      <c r="I39" s="13" t="s">
        <v>5463</v>
      </c>
      <c r="J39" s="13" t="s">
        <v>5267</v>
      </c>
      <c r="K39" s="13" t="s">
        <v>5339</v>
      </c>
      <c r="L39" s="17">
        <v>2013</v>
      </c>
      <c r="M39" s="18"/>
    </row>
    <row r="40" spans="1:13" x14ac:dyDescent="0.25">
      <c r="A40" s="13" t="s">
        <v>5307</v>
      </c>
      <c r="B40" s="14" t="s">
        <v>5464</v>
      </c>
      <c r="C40" s="13" t="s">
        <v>5465</v>
      </c>
      <c r="D40" s="13" t="s">
        <v>5466</v>
      </c>
      <c r="E40" s="13" t="s">
        <v>218</v>
      </c>
      <c r="F40" s="15">
        <v>32670</v>
      </c>
      <c r="G40" s="13" t="s">
        <v>20</v>
      </c>
      <c r="H40" s="16" t="s">
        <v>5467</v>
      </c>
      <c r="I40" s="13" t="s">
        <v>5468</v>
      </c>
      <c r="J40" s="13" t="s">
        <v>5267</v>
      </c>
      <c r="K40" s="13" t="s">
        <v>5398</v>
      </c>
      <c r="L40" s="17">
        <v>2013</v>
      </c>
      <c r="M40" s="18"/>
    </row>
    <row r="41" spans="1:13" x14ac:dyDescent="0.25">
      <c r="A41" s="13" t="s">
        <v>5261</v>
      </c>
      <c r="B41" s="14" t="s">
        <v>5469</v>
      </c>
      <c r="C41" s="13" t="s">
        <v>321</v>
      </c>
      <c r="D41" s="13" t="s">
        <v>5470</v>
      </c>
      <c r="E41" s="13" t="s">
        <v>360</v>
      </c>
      <c r="F41" s="15">
        <v>32048</v>
      </c>
      <c r="G41" s="13" t="s">
        <v>20</v>
      </c>
      <c r="H41" s="16" t="s">
        <v>5471</v>
      </c>
      <c r="I41" s="13"/>
      <c r="J41" s="13" t="s">
        <v>5267</v>
      </c>
      <c r="K41" s="13" t="s">
        <v>5348</v>
      </c>
      <c r="L41" s="17">
        <v>2013</v>
      </c>
      <c r="M41" s="18"/>
    </row>
    <row r="42" spans="1:13" x14ac:dyDescent="0.25">
      <c r="A42" s="13" t="s">
        <v>5293</v>
      </c>
      <c r="B42" s="21" t="s">
        <v>5472</v>
      </c>
      <c r="C42" s="13" t="s">
        <v>4225</v>
      </c>
      <c r="D42" s="13" t="s">
        <v>4226</v>
      </c>
      <c r="E42" s="13" t="s">
        <v>998</v>
      </c>
      <c r="F42" s="15">
        <v>33712</v>
      </c>
      <c r="G42" s="13" t="s">
        <v>20</v>
      </c>
      <c r="H42" s="16" t="s">
        <v>4229</v>
      </c>
      <c r="I42" s="13" t="s">
        <v>5473</v>
      </c>
      <c r="J42" s="13" t="s">
        <v>5267</v>
      </c>
      <c r="K42" s="13" t="s">
        <v>5474</v>
      </c>
      <c r="L42" s="17">
        <v>2013</v>
      </c>
      <c r="M42" s="18"/>
    </row>
    <row r="43" spans="1:13" x14ac:dyDescent="0.25">
      <c r="A43" s="13" t="s">
        <v>5307</v>
      </c>
      <c r="B43" s="21" t="s">
        <v>5475</v>
      </c>
      <c r="C43" s="13" t="s">
        <v>5476</v>
      </c>
      <c r="D43" s="13" t="s">
        <v>5477</v>
      </c>
      <c r="E43" s="13" t="s">
        <v>156</v>
      </c>
      <c r="F43" s="15">
        <v>32799</v>
      </c>
      <c r="G43" s="13" t="s">
        <v>20</v>
      </c>
      <c r="H43" s="16" t="s">
        <v>5478</v>
      </c>
      <c r="I43" s="13" t="s">
        <v>5479</v>
      </c>
      <c r="J43" s="13" t="s">
        <v>5267</v>
      </c>
      <c r="K43" s="13" t="s">
        <v>5398</v>
      </c>
      <c r="L43" s="17">
        <v>2008</v>
      </c>
      <c r="M43" s="18"/>
    </row>
    <row r="44" spans="1:13" x14ac:dyDescent="0.25">
      <c r="A44" s="13" t="s">
        <v>5307</v>
      </c>
      <c r="B44" s="19" t="s">
        <v>5480</v>
      </c>
      <c r="C44" s="13" t="s">
        <v>5481</v>
      </c>
      <c r="D44" s="13" t="s">
        <v>5482</v>
      </c>
      <c r="E44" s="13" t="s">
        <v>5483</v>
      </c>
      <c r="F44" s="15">
        <v>32937</v>
      </c>
      <c r="G44" s="13" t="s">
        <v>20</v>
      </c>
      <c r="H44" s="16" t="s">
        <v>5484</v>
      </c>
      <c r="I44" s="13"/>
      <c r="J44" s="13" t="s">
        <v>5267</v>
      </c>
      <c r="K44" s="13" t="s">
        <v>5485</v>
      </c>
      <c r="L44" s="17">
        <v>2013</v>
      </c>
      <c r="M44" s="18"/>
    </row>
    <row r="45" spans="1:13" x14ac:dyDescent="0.25">
      <c r="A45" s="13" t="s">
        <v>5261</v>
      </c>
      <c r="B45" s="19" t="s">
        <v>5486</v>
      </c>
      <c r="C45" s="13" t="s">
        <v>5487</v>
      </c>
      <c r="D45" s="13" t="s">
        <v>5488</v>
      </c>
      <c r="E45" s="13" t="s">
        <v>1901</v>
      </c>
      <c r="F45" s="15">
        <v>33277</v>
      </c>
      <c r="G45" s="13" t="s">
        <v>20</v>
      </c>
      <c r="H45" s="16" t="s">
        <v>5489</v>
      </c>
      <c r="I45" s="13" t="s">
        <v>5490</v>
      </c>
      <c r="J45" s="13" t="s">
        <v>5267</v>
      </c>
      <c r="K45" s="13" t="s">
        <v>5491</v>
      </c>
      <c r="L45" s="17">
        <v>2013</v>
      </c>
      <c r="M45" s="18"/>
    </row>
    <row r="46" spans="1:13" x14ac:dyDescent="0.25">
      <c r="A46" s="13" t="s">
        <v>5261</v>
      </c>
      <c r="B46" s="19" t="s">
        <v>5492</v>
      </c>
      <c r="C46" s="13" t="s">
        <v>5493</v>
      </c>
      <c r="D46" s="13" t="s">
        <v>5494</v>
      </c>
      <c r="E46" s="13" t="s">
        <v>1532</v>
      </c>
      <c r="F46" s="15">
        <v>33715</v>
      </c>
      <c r="G46" s="13" t="s">
        <v>20</v>
      </c>
      <c r="H46" s="16" t="s">
        <v>5495</v>
      </c>
      <c r="I46" s="13" t="s">
        <v>5496</v>
      </c>
      <c r="J46" s="13" t="s">
        <v>5267</v>
      </c>
      <c r="K46" s="13" t="s">
        <v>5444</v>
      </c>
      <c r="L46" s="17">
        <v>2013</v>
      </c>
      <c r="M46" s="18"/>
    </row>
    <row r="47" spans="1:13" x14ac:dyDescent="0.25">
      <c r="A47" s="13" t="s">
        <v>5307</v>
      </c>
      <c r="B47" s="21" t="s">
        <v>5497</v>
      </c>
      <c r="C47" s="13" t="s">
        <v>5498</v>
      </c>
      <c r="D47" s="13" t="s">
        <v>5499</v>
      </c>
      <c r="E47" s="13" t="s">
        <v>4714</v>
      </c>
      <c r="F47" s="15">
        <v>32158</v>
      </c>
      <c r="G47" s="13" t="s">
        <v>20</v>
      </c>
      <c r="H47" s="16" t="s">
        <v>5500</v>
      </c>
      <c r="I47" s="13" t="s">
        <v>5501</v>
      </c>
      <c r="J47" s="13" t="s">
        <v>5267</v>
      </c>
      <c r="K47" s="13" t="s">
        <v>5391</v>
      </c>
      <c r="L47" s="17">
        <v>2007</v>
      </c>
      <c r="M47" s="18"/>
    </row>
    <row r="48" spans="1:13" x14ac:dyDescent="0.25">
      <c r="A48" s="13" t="s">
        <v>5261</v>
      </c>
      <c r="B48" s="19" t="s">
        <v>5502</v>
      </c>
      <c r="C48" s="13" t="s">
        <v>5503</v>
      </c>
      <c r="D48" s="13" t="s">
        <v>5504</v>
      </c>
      <c r="E48" s="13" t="s">
        <v>1402</v>
      </c>
      <c r="F48" s="15">
        <v>33358</v>
      </c>
      <c r="G48" s="13" t="s">
        <v>20</v>
      </c>
      <c r="H48" s="16" t="s">
        <v>5505</v>
      </c>
      <c r="I48" s="13" t="s">
        <v>5506</v>
      </c>
      <c r="J48" s="13" t="s">
        <v>5267</v>
      </c>
      <c r="K48" s="13" t="s">
        <v>5339</v>
      </c>
      <c r="L48" s="17">
        <v>2013</v>
      </c>
      <c r="M48" s="18"/>
    </row>
    <row r="49" spans="1:13" x14ac:dyDescent="0.25">
      <c r="A49" s="13" t="s">
        <v>5293</v>
      </c>
      <c r="B49" s="19" t="s">
        <v>5507</v>
      </c>
      <c r="C49" s="13" t="s">
        <v>5508</v>
      </c>
      <c r="D49" s="13" t="s">
        <v>5509</v>
      </c>
      <c r="E49" s="13" t="s">
        <v>301</v>
      </c>
      <c r="F49" s="15">
        <v>33435</v>
      </c>
      <c r="G49" s="13" t="s">
        <v>20</v>
      </c>
      <c r="H49" s="16" t="s">
        <v>5510</v>
      </c>
      <c r="I49" s="13"/>
      <c r="J49" s="13" t="s">
        <v>5267</v>
      </c>
      <c r="K49" s="13" t="s">
        <v>5321</v>
      </c>
      <c r="L49" s="17">
        <v>2013</v>
      </c>
      <c r="M49" s="18"/>
    </row>
    <row r="50" spans="1:13" x14ac:dyDescent="0.25">
      <c r="A50" s="13" t="s">
        <v>5307</v>
      </c>
      <c r="B50" s="21" t="s">
        <v>5511</v>
      </c>
      <c r="C50" s="13" t="s">
        <v>5512</v>
      </c>
      <c r="D50" s="13" t="s">
        <v>5513</v>
      </c>
      <c r="E50" s="13" t="s">
        <v>342</v>
      </c>
      <c r="F50" s="15">
        <v>32456</v>
      </c>
      <c r="G50" s="13" t="s">
        <v>20</v>
      </c>
      <c r="H50" s="16" t="s">
        <v>5514</v>
      </c>
      <c r="I50" s="13" t="s">
        <v>5515</v>
      </c>
      <c r="J50" s="13" t="s">
        <v>5267</v>
      </c>
      <c r="K50" s="13" t="s">
        <v>5336</v>
      </c>
      <c r="L50" s="17">
        <v>2007</v>
      </c>
      <c r="M50" s="18"/>
    </row>
    <row r="51" spans="1:13" x14ac:dyDescent="0.25">
      <c r="A51" s="13" t="s">
        <v>5360</v>
      </c>
      <c r="B51" s="21" t="s">
        <v>5516</v>
      </c>
      <c r="C51" s="13" t="s">
        <v>5517</v>
      </c>
      <c r="D51" s="13" t="s">
        <v>5518</v>
      </c>
      <c r="E51" s="13" t="s">
        <v>5519</v>
      </c>
      <c r="F51" s="15">
        <v>33608</v>
      </c>
      <c r="G51" s="13" t="s">
        <v>20</v>
      </c>
      <c r="H51" s="16" t="s">
        <v>5520</v>
      </c>
      <c r="I51" s="13" t="s">
        <v>5521</v>
      </c>
      <c r="J51" s="13" t="s">
        <v>5267</v>
      </c>
      <c r="K51" s="13" t="s">
        <v>5444</v>
      </c>
      <c r="L51" s="17">
        <v>2013</v>
      </c>
      <c r="M51" s="18"/>
    </row>
    <row r="52" spans="1:13" x14ac:dyDescent="0.25">
      <c r="A52" s="13" t="s">
        <v>5261</v>
      </c>
      <c r="B52" s="21" t="s">
        <v>5522</v>
      </c>
      <c r="C52" s="13" t="s">
        <v>4157</v>
      </c>
      <c r="D52" s="13" t="s">
        <v>4158</v>
      </c>
      <c r="E52" s="13" t="s">
        <v>54</v>
      </c>
      <c r="F52" s="15">
        <v>33920</v>
      </c>
      <c r="G52" s="13" t="s">
        <v>20</v>
      </c>
      <c r="H52" s="16" t="s">
        <v>4161</v>
      </c>
      <c r="I52" s="13" t="s">
        <v>5523</v>
      </c>
      <c r="J52" s="13" t="s">
        <v>5267</v>
      </c>
      <c r="K52" s="13" t="s">
        <v>5474</v>
      </c>
      <c r="L52" s="17">
        <v>2013</v>
      </c>
      <c r="M52" s="18"/>
    </row>
    <row r="53" spans="1:13" x14ac:dyDescent="0.25">
      <c r="A53" s="13" t="s">
        <v>5307</v>
      </c>
      <c r="B53" s="19" t="s">
        <v>5524</v>
      </c>
      <c r="C53" s="13" t="s">
        <v>5525</v>
      </c>
      <c r="D53" s="13" t="s">
        <v>5526</v>
      </c>
      <c r="E53" s="13" t="s">
        <v>4175</v>
      </c>
      <c r="F53" s="15">
        <v>32035</v>
      </c>
      <c r="G53" s="13" t="s">
        <v>20</v>
      </c>
      <c r="H53" s="16" t="s">
        <v>5527</v>
      </c>
      <c r="I53" s="13"/>
      <c r="J53" s="13" t="s">
        <v>5267</v>
      </c>
      <c r="K53" s="13" t="s">
        <v>5348</v>
      </c>
      <c r="L53" s="17">
        <v>2013</v>
      </c>
      <c r="M53" s="22"/>
    </row>
    <row r="54" spans="1:13" x14ac:dyDescent="0.25">
      <c r="A54" s="13" t="s">
        <v>5261</v>
      </c>
      <c r="B54" s="21" t="s">
        <v>5528</v>
      </c>
      <c r="C54" s="13" t="s">
        <v>5529</v>
      </c>
      <c r="D54" s="13" t="s">
        <v>5530</v>
      </c>
      <c r="E54" s="13" t="s">
        <v>4000</v>
      </c>
      <c r="F54" s="15">
        <v>32544</v>
      </c>
      <c r="G54" s="13" t="s">
        <v>20</v>
      </c>
      <c r="H54" s="16" t="s">
        <v>5531</v>
      </c>
      <c r="I54" s="13" t="s">
        <v>5532</v>
      </c>
      <c r="J54" s="13" t="s">
        <v>5267</v>
      </c>
      <c r="K54" s="13" t="s">
        <v>5398</v>
      </c>
      <c r="L54" s="17">
        <v>2008</v>
      </c>
      <c r="M54" s="22"/>
    </row>
    <row r="55" spans="1:13" x14ac:dyDescent="0.25">
      <c r="A55" s="13" t="s">
        <v>5261</v>
      </c>
      <c r="B55" s="19" t="s">
        <v>5533</v>
      </c>
      <c r="C55" s="13" t="s">
        <v>5534</v>
      </c>
      <c r="D55" s="13" t="s">
        <v>5535</v>
      </c>
      <c r="E55" s="13" t="s">
        <v>5536</v>
      </c>
      <c r="F55" s="15">
        <v>32064</v>
      </c>
      <c r="G55" s="13" t="s">
        <v>20</v>
      </c>
      <c r="H55" s="16" t="s">
        <v>5537</v>
      </c>
      <c r="I55" s="13" t="s">
        <v>5538</v>
      </c>
      <c r="J55" s="13" t="s">
        <v>5267</v>
      </c>
      <c r="K55" s="13" t="s">
        <v>5268</v>
      </c>
      <c r="L55" s="17">
        <v>2013</v>
      </c>
      <c r="M55" s="22"/>
    </row>
    <row r="56" spans="1:13" x14ac:dyDescent="0.25">
      <c r="A56" s="13" t="s">
        <v>5261</v>
      </c>
      <c r="B56" s="19" t="s">
        <v>5533</v>
      </c>
      <c r="C56" s="13" t="s">
        <v>5534</v>
      </c>
      <c r="D56" s="13" t="s">
        <v>5535</v>
      </c>
      <c r="E56" s="13" t="s">
        <v>5536</v>
      </c>
      <c r="F56" s="15">
        <v>32064</v>
      </c>
      <c r="G56" s="13" t="s">
        <v>20</v>
      </c>
      <c r="H56" s="16" t="s">
        <v>5537</v>
      </c>
      <c r="I56" s="13" t="s">
        <v>5538</v>
      </c>
      <c r="J56" s="13" t="s">
        <v>5267</v>
      </c>
      <c r="K56" s="13" t="s">
        <v>5268</v>
      </c>
      <c r="L56" s="17">
        <v>2013</v>
      </c>
      <c r="M56" s="18"/>
    </row>
    <row r="57" spans="1:13" x14ac:dyDescent="0.25">
      <c r="A57" s="13" t="s">
        <v>5293</v>
      </c>
      <c r="B57" s="19" t="s">
        <v>5539</v>
      </c>
      <c r="C57" s="13" t="s">
        <v>5540</v>
      </c>
      <c r="D57" s="13" t="s">
        <v>5541</v>
      </c>
      <c r="E57" s="13" t="s">
        <v>5542</v>
      </c>
      <c r="F57" s="15">
        <v>32638</v>
      </c>
      <c r="G57" s="13" t="s">
        <v>20</v>
      </c>
      <c r="H57" s="16" t="s">
        <v>5543</v>
      </c>
      <c r="I57" s="13" t="s">
        <v>5544</v>
      </c>
      <c r="J57" s="13" t="s">
        <v>5267</v>
      </c>
      <c r="K57" s="13" t="s">
        <v>5321</v>
      </c>
      <c r="L57" s="17">
        <v>2007</v>
      </c>
      <c r="M57" s="18"/>
    </row>
    <row r="58" spans="1:13" x14ac:dyDescent="0.25">
      <c r="A58" s="13" t="s">
        <v>5261</v>
      </c>
      <c r="B58" s="19" t="s">
        <v>5545</v>
      </c>
      <c r="C58" s="13" t="s">
        <v>5546</v>
      </c>
      <c r="D58" s="13" t="s">
        <v>5547</v>
      </c>
      <c r="E58" s="13" t="s">
        <v>5548</v>
      </c>
      <c r="F58" s="15">
        <v>32461</v>
      </c>
      <c r="G58" s="13" t="s">
        <v>20</v>
      </c>
      <c r="H58" s="16" t="s">
        <v>5549</v>
      </c>
      <c r="I58" s="13" t="s">
        <v>5550</v>
      </c>
      <c r="J58" s="13" t="s">
        <v>5267</v>
      </c>
      <c r="K58" s="13" t="s">
        <v>5321</v>
      </c>
      <c r="L58" s="17">
        <v>2007</v>
      </c>
      <c r="M58" s="18"/>
    </row>
    <row r="60" spans="1:13" x14ac:dyDescent="0.25">
      <c r="A60" s="18"/>
      <c r="B60" s="18"/>
      <c r="C60" s="18"/>
      <c r="D60" s="18"/>
      <c r="E60" s="18"/>
    </row>
    <row r="61" spans="1:13" x14ac:dyDescent="0.25">
      <c r="A61" s="18"/>
      <c r="B61" s="23" t="s">
        <v>5551</v>
      </c>
      <c r="C61" s="23"/>
      <c r="D61" s="23"/>
      <c r="E61" s="24"/>
    </row>
    <row r="62" spans="1:13" x14ac:dyDescent="0.25">
      <c r="A62" s="18"/>
      <c r="B62" s="25" t="s">
        <v>5552</v>
      </c>
      <c r="C62" s="25"/>
      <c r="D62" s="25"/>
      <c r="E62" s="24"/>
    </row>
    <row r="63" spans="1:13" x14ac:dyDescent="0.25">
      <c r="A63" s="18"/>
      <c r="B63" s="26" t="s">
        <v>5553</v>
      </c>
      <c r="C63" s="26"/>
      <c r="D63" s="26"/>
      <c r="E63" s="24"/>
    </row>
    <row r="64" spans="1:13" x14ac:dyDescent="0.25">
      <c r="A64" s="18"/>
      <c r="B64" s="27" t="s">
        <v>5554</v>
      </c>
      <c r="C64" s="27"/>
      <c r="D64" s="27"/>
      <c r="E64" s="24"/>
    </row>
    <row r="65" spans="1:5" x14ac:dyDescent="0.25">
      <c r="A65" s="18"/>
      <c r="B65" s="18"/>
      <c r="C65" s="18"/>
      <c r="D65" s="18"/>
      <c r="E65" s="18"/>
    </row>
    <row r="66" spans="1:5" x14ac:dyDescent="0.25">
      <c r="A66" s="18"/>
      <c r="B66" s="18"/>
      <c r="C66" s="18"/>
      <c r="D66" s="18"/>
      <c r="E66" s="18"/>
    </row>
    <row r="67" spans="1:5" x14ac:dyDescent="0.25">
      <c r="A67" s="18"/>
      <c r="B67" s="18"/>
      <c r="C67" s="18"/>
      <c r="D67" s="18"/>
      <c r="E67" s="18"/>
    </row>
  </sheetData>
  <autoFilter ref="A1:M58"/>
  <hyperlinks>
    <hyperlink ref="H2" r:id="rId1" display="mailto:luukiekeizer@gmail.com"/>
    <hyperlink ref="H3" r:id="rId2" display="mailto:shoaib246@hotmail.com"/>
    <hyperlink ref="H4" r:id="rId3" display="mailto:tessavdheiden@gmail.com"/>
    <hyperlink ref="H5" r:id="rId4" display="mailto:448818@student.inholland.nl"/>
    <hyperlink ref="H6" r:id="rId5" display="mailto:ozer_123@hotmail.com"/>
    <hyperlink ref="H8" r:id="rId6" display="mailto:3205582@student.inholland.nl"/>
    <hyperlink ref="H7" r:id="rId7" display="mailto:l_huijgens@hotmail.com"/>
    <hyperlink ref="H9" r:id="rId8" display="mailto:thijs0290@gmail.com"/>
    <hyperlink ref="H10" r:id="rId9" display="mailto:lode.vanc@gmail.com"/>
    <hyperlink ref="H11" r:id="rId10" display="mailto:t.vink@hotmail.com"/>
    <hyperlink ref="H12" r:id="rId11" display="mailto:silvesterwulffers@hotmail.com"/>
    <hyperlink ref="H13" r:id="rId12" display="mailto:alexlotgering@gmail.com"/>
    <hyperlink ref="H14" r:id="rId13" display="mailto:roeldv@gmail.com"/>
    <hyperlink ref="H15" r:id="rId14" display="mailto:matthys11@hotmail.com"/>
    <hyperlink ref="H17" r:id="rId15" display="mailto:nielsvandijk03091991@gmail.com"/>
    <hyperlink ref="H16" r:id="rId16" display="mailto:patrickpwdeboer@gmail.com"/>
    <hyperlink ref="H18" r:id="rId17" display="mailto:diedertboltje@hotmail.com"/>
    <hyperlink ref="H19" r:id="rId18" display="mailto:h.t.l.hoang@gmail.com"/>
    <hyperlink ref="H20" r:id="rId19" display="mailto:willembernard@gmail.com"/>
    <hyperlink ref="H21" r:id="rId20" display="mailto:oliverheijmeijer@gmail.com"/>
    <hyperlink ref="H22" r:id="rId21" display="mailto:ryanmvd@gmail.com"/>
    <hyperlink ref="H23" r:id="rId22" display="mailto:jurgenborghuis@hotmail.com"/>
    <hyperlink ref="H24" r:id="rId23" display="mailto:joneboon@gmail.com"/>
    <hyperlink ref="H25" r:id="rId24" display="mailto:jorisvanderjagt@gmail.com"/>
    <hyperlink ref="H26" r:id="rId25" display="mailto:paulienklap_8@hotmail.com"/>
    <hyperlink ref="H27" r:id="rId26" display="mailto:roelandk@hotmail.com"/>
    <hyperlink ref="H28" r:id="rId27" display="mailto:jimmyvanschoubroeck@yahoo.com"/>
    <hyperlink ref="H29" r:id="rId28" display="mailto:frouwkjedeblaauw@hotmail.com"/>
    <hyperlink ref="H30" r:id="rId29" display="mailto:wouter_zoest@hotmail.com"/>
    <hyperlink ref="H31" r:id="rId30" display="mailto:najoo_84@hotmail.com"/>
    <hyperlink ref="H32" r:id="rId31" display="mailto:ronald.knoppe@gmail.com"/>
    <hyperlink ref="H33" r:id="rId32" display="mailto:sltielens@gmail.com"/>
    <hyperlink ref="H34" r:id="rId33" display="mailto:silvesterwulffers@hotmail.com"/>
    <hyperlink ref="H35" r:id="rId34" display="mailto:f.a.vandelft@gmail.com"/>
    <hyperlink ref="H36" r:id="rId35" display="mailto:wietze@live.nl"/>
    <hyperlink ref="H40" r:id="rId36" display="mailto:njkoorn@hotmail.com"/>
    <hyperlink ref="H38" r:id="rId37" display="mailto:bramvandenbrink@live.nl"/>
    <hyperlink ref="H39" r:id="rId38" display="mailto:n_tol@live.nl"/>
    <hyperlink ref="H37" r:id="rId39" display="mailto:stino2@msn.com"/>
    <hyperlink ref="H41" r:id="rId40" display="mailto:nickdejong_alfa@hotmail.com"/>
    <hyperlink ref="H42" r:id="rId41" display="mailto:lars_hamberg@live.nl"/>
    <hyperlink ref="H44" r:id="rId42" display="mailto:erik.hoogeveen@hva.nl"/>
    <hyperlink ref="H43" r:id="rId43" display="mailto:jasperbreeuwsma@hotmail.com"/>
    <hyperlink ref="H45" r:id="rId44" display="mailto:stephandiek@hotmail.com"/>
    <hyperlink ref="H46" r:id="rId45" display="mailto:benwilson@live.nl"/>
    <hyperlink ref="H47" r:id="rId46" display="mailto:cpasteutel@gmail.com"/>
    <hyperlink ref="H48" r:id="rId47" display="mailto:raymondr1991@gmail.com"/>
    <hyperlink ref="H49" r:id="rId48" display="mailto:martijnwittingen@hotmail.nl"/>
    <hyperlink ref="H50" r:id="rId49" display="mailto:noordampie@hotmail.com"/>
    <hyperlink ref="H52" r:id="rId50" display="mailto:dennisgiezeman@gmail.com"/>
    <hyperlink ref="H51" r:id="rId51" display="mailto:tomas_lenssen@hotmail.com"/>
    <hyperlink ref="H53" r:id="rId52" display="mailto:stefangraat@hotmail.com"/>
    <hyperlink ref="H54" r:id="rId53" display="mailto:m.disselkoen@planet.nl"/>
    <hyperlink ref="H55" r:id="rId54" display="mailto:mnmalik87@gmail.com"/>
    <hyperlink ref="H56" r:id="rId55" display="mailto:mnmalik87@gmail.com"/>
    <hyperlink ref="H58" r:id="rId56" display="mailto:roaldzwinkels@gmail.com"/>
    <hyperlink ref="H57" r:id="rId57" display="mailto:allardvdknijff@hot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1E JAARS VERSCHENEN</vt:lpstr>
      <vt:lpstr>1E JAARS NIET VERSCHENEN</vt:lpstr>
      <vt:lpstr>DRAAITABEL 1</vt:lpstr>
      <vt:lpstr>DRAAITABEL 2</vt:lpstr>
      <vt:lpstr>HBO2013</vt:lpstr>
      <vt:lpstr>'1E JAARS VERSCHENEN'!Afdruktitels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cp:lastPrinted>2013-09-02T18:02:57Z</cp:lastPrinted>
  <dcterms:created xsi:type="dcterms:W3CDTF">2013-09-02T16:54:19Z</dcterms:created>
  <dcterms:modified xsi:type="dcterms:W3CDTF">2013-11-11T11:09:56Z</dcterms:modified>
</cp:coreProperties>
</file>